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drawings/drawing2.xml" ContentType="application/vnd.openxmlformats-officedocument.drawing+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drawings/drawing3.xml" ContentType="application/vnd.openxmlformats-officedocument.drawing+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drawings/drawing4.xml" ContentType="application/vnd.openxmlformats-officedocument.drawing+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drawings/drawing5.xml" ContentType="application/vnd.openxmlformats-officedocument.drawing+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drawings/drawing6.xml" ContentType="application/vnd.openxmlformats-officedocument.drawing+xml"/>
  <Override PartName="/xl/ctrlProps/ctrlProp50.xml" ContentType="application/vnd.ms-excel.controlproperties+xml"/>
  <Override PartName="/xl/ctrlProps/ctrlProp5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W:\2017\_pdf\files\"/>
    </mc:Choice>
  </mc:AlternateContent>
  <bookViews>
    <workbookView xWindow="75" yWindow="-15" windowWidth="15480" windowHeight="11640" tabRatio="803"/>
  </bookViews>
  <sheets>
    <sheet name="Introduction" sheetId="20" r:id="rId1"/>
    <sheet name="Volume Calculator" sheetId="1" r:id="rId2"/>
    <sheet name="Porous Pavement" sheetId="9" r:id="rId3"/>
    <sheet name="Tree Planting" sheetId="18" r:id="rId4"/>
    <sheet name="Downspout Disconnection" sheetId="3" r:id="rId5"/>
    <sheet name="Impervious Area Disconnection" sheetId="5" r:id="rId6"/>
    <sheet name="GreenRoofs" sheetId="16" r:id="rId7"/>
    <sheet name="Stream Buffer" sheetId="2" r:id="rId8"/>
    <sheet name="Vegetated Swale" sheetId="6" r:id="rId9"/>
    <sheet name="Rain Barrels &amp; Cisterns" sheetId="19" r:id="rId10"/>
    <sheet name="Soil Quality" sheetId="8" r:id="rId11"/>
    <sheet name="No Edit" sheetId="14" r:id="rId12"/>
    <sheet name="Sheet1" sheetId="17" r:id="rId13"/>
  </sheets>
  <externalReferences>
    <externalReference r:id="rId14"/>
  </externalReferences>
  <definedNames>
    <definedName name="_xlnm._FilterDatabase" localSheetId="11" hidden="1">'No Edit'!#REF!</definedName>
    <definedName name="ALAMEDA">'No Edit'!$M$3:$M$6</definedName>
    <definedName name="ALPINE">'No Edit'!$M$7</definedName>
    <definedName name="AMADOR">'No Edit'!$M$8:$M$9</definedName>
    <definedName name="BUTTE">'No Edit'!$M$10:$M$13</definedName>
    <definedName name="CALAVERAS">'No Edit'!$M$14:$M$15</definedName>
    <definedName name="COLUSA">'No Edit'!$M$16</definedName>
    <definedName name="CONTRA_COSTA">'No Edit'!$M$17:$M$19</definedName>
    <definedName name="Counties">'No Edit'!$L$3:$L$239</definedName>
    <definedName name="COUNTY">'No Edit'!$L$2</definedName>
    <definedName name="County_List2">[1]Sheet2!$T$2:$T$60</definedName>
    <definedName name="COUNTYCOL">'No Edit'!$L$2:$L$239</definedName>
    <definedName name="CountyColumn">'No Edit'!$L:$L</definedName>
    <definedName name="CountyRainList">'No Edit'!$A$27:$A$85</definedName>
    <definedName name="DEL_NORTE">'No Edit'!$M$20:$M$21</definedName>
    <definedName name="EL_DIRADI">'No Edit'!$M$22:$M$26</definedName>
    <definedName name="FRESNO">'No Edit'!$M$27:$M$31</definedName>
    <definedName name="GLENN">'No Edit'!$M$32</definedName>
    <definedName name="HUMBOLDT">'No Edit'!$M$33:$M$36</definedName>
    <definedName name="IMPERIAL">'No Edit'!$M$37</definedName>
    <definedName name="INYO">'No Edit'!$M$38:$M$39</definedName>
    <definedName name="KERN">'No Edit'!$M$40:$M$47</definedName>
    <definedName name="KINGS">'No Edit'!$M$48</definedName>
    <definedName name="LAKE">'No Edit'!$M$49:$M$50</definedName>
    <definedName name="LAND">'No Edit'!$A$3:$A$17</definedName>
    <definedName name="Land_list">'No Edit'!$A$3:$A$17</definedName>
    <definedName name="LandU">'No Edit'!$A$2:$A$17</definedName>
    <definedName name="LandU2">'No Edit'!$A$2:$A$22</definedName>
    <definedName name="LandU2a">'No Edit'!$A$89:$A$105</definedName>
    <definedName name="LandU3">'No Edit'!$A$89:$E$105</definedName>
    <definedName name="LASSEN">'No Edit'!$M$51:$M$54</definedName>
    <definedName name="LOCATIONCOL">'No Edit'!$M$2:$M$239</definedName>
    <definedName name="Locations">'No Edit'!$M$3:$M$239</definedName>
    <definedName name="LOS_ANGELES">'No Edit'!$M$55:$M$76</definedName>
    <definedName name="MADERA">'No Edit'!$M$77</definedName>
    <definedName name="MARIN">'No Edit'!$M$78:$M$79</definedName>
    <definedName name="MARIPOSA">'No Edit'!$M$80:$M$82</definedName>
    <definedName name="MENDOCINO">'No Edit'!$M$83:$M$91</definedName>
    <definedName name="MERCED">'No Edit'!$M$92:$M$93</definedName>
    <definedName name="MODOC">'No Edit'!$M$94:$M$95</definedName>
    <definedName name="MONO">'No Edit'!$M$96:$M$97</definedName>
    <definedName name="MONTEREY">'No Edit'!$M$98:$M$103</definedName>
    <definedName name="NAPA">'No Edit'!$M$104:$M$106</definedName>
    <definedName name="NEVADA">'No Edit'!$M$107:$M$111</definedName>
    <definedName name="ORANGE">'No Edit'!$M$112:$M$121</definedName>
    <definedName name="PLACER">'No Edit'!$M$122:$M$124</definedName>
    <definedName name="PLUMAS">'No Edit'!$M$125:$M$127</definedName>
    <definedName name="Rain">'No Edit'!$N:$N</definedName>
    <definedName name="Rain85">'No Edit'!$N$2:$N$239</definedName>
    <definedName name="RainValues">'No Edit'!$A$27:$C$85</definedName>
    <definedName name="RegionList">'No Edit'!$L$3:$N$239</definedName>
    <definedName name="RIVERSIDE">'No Edit'!$M$128:$M$136</definedName>
    <definedName name="SACRAMENTO">'No Edit'!$M$137:$M$138</definedName>
    <definedName name="SAN_BENITO">'No Edit'!$M$139:$M$144</definedName>
    <definedName name="SAN_BERNARDINO">'No Edit'!$M$145:$M$161</definedName>
    <definedName name="SAN_DIEGO">'No Edit'!$M$162:$M$173</definedName>
    <definedName name="SAN_FRANCISCO">'No Edit'!$M$174:$M$175</definedName>
    <definedName name="SAN_JOAQUIN">'No Edit'!$M$176:$M$178</definedName>
    <definedName name="SAN_LUIS_OBISPO">'No Edit'!$M$179:$M$181</definedName>
    <definedName name="SAN_MATEO">'No Edit'!$M$182</definedName>
    <definedName name="SANTA_BARBARA">'No Edit'!$M$183:$M$190</definedName>
    <definedName name="SANTA_CLARA">'No Edit'!$M$191:$M$193</definedName>
    <definedName name="SANTA_CRUZ">'No Edit'!$M$194:$M$196</definedName>
    <definedName name="SHASTA">'No Edit'!$M$197:$M$200</definedName>
    <definedName name="SIERRA">'No Edit'!$M$201:$M$202</definedName>
    <definedName name="SISKIYOU">'No Edit'!$M$203:$M$207</definedName>
    <definedName name="Soil_Type">'No Edit'!$G$2:$G$5</definedName>
    <definedName name="Soil2">'Soil Quality'!$M$14:$M$20</definedName>
    <definedName name="Soil3">'Soil Quality'!$M$13:$M$20</definedName>
    <definedName name="Soils">'No Edit'!$G$1:$G$5</definedName>
    <definedName name="SOLANO">'No Edit'!$M$208</definedName>
    <definedName name="SONOMA">'No Edit'!$M$209:$M$212</definedName>
    <definedName name="STANISLAUS">'No Edit'!$M$213</definedName>
    <definedName name="SUTTER">'No Edit'!$M$214</definedName>
    <definedName name="TEHAMA">'No Edit'!$M$215:$M$217</definedName>
    <definedName name="TRINTY">'No Edit'!$M$218:$M$220</definedName>
    <definedName name="TULARE">'No Edit'!$M$221:$M$230</definedName>
    <definedName name="TUOLUMNE">'No Edit'!$M$231:$M$233</definedName>
    <definedName name="VENTURA">'No Edit'!$M$234:$M$236</definedName>
    <definedName name="VLOOKUPTABLE2">[1]Sheet2!$A$3:$C$240</definedName>
    <definedName name="YOLO">'No Edit'!$M$237</definedName>
    <definedName name="YUBA">'No Edit'!$M$238:$M$239</definedName>
  </definedNames>
  <calcPr calcId="162913" fullCalcOnLoad="1" fullPrecision="0"/>
</workbook>
</file>

<file path=xl/calcChain.xml><?xml version="1.0" encoding="utf-8"?>
<calcChain xmlns="http://schemas.openxmlformats.org/spreadsheetml/2006/main">
  <c r="V6" i="1" l="1"/>
  <c r="V17" i="1"/>
  <c r="P4" i="1"/>
  <c r="K12" i="1"/>
  <c r="K16" i="1"/>
  <c r="G15" i="8"/>
  <c r="E6" i="19"/>
  <c r="H34" i="1"/>
  <c r="J34" i="1" s="1"/>
  <c r="M10" i="8"/>
  <c r="M9" i="8" s="1"/>
  <c r="H15" i="8" s="1"/>
  <c r="H35" i="1"/>
  <c r="J35" i="1" s="1"/>
  <c r="J16" i="8"/>
  <c r="H6" i="9"/>
  <c r="H7" i="9"/>
  <c r="H8" i="9"/>
  <c r="H9" i="9"/>
  <c r="H10" i="9"/>
  <c r="H11" i="9"/>
  <c r="H13" i="9"/>
  <c r="H14" i="9"/>
  <c r="H15" i="9"/>
  <c r="H16" i="9"/>
  <c r="H17" i="9"/>
  <c r="G18" i="9"/>
  <c r="S16" i="1"/>
  <c r="K17" i="1"/>
  <c r="J11" i="3" s="1"/>
  <c r="K18" i="1"/>
  <c r="A10" i="6"/>
  <c r="P3" i="1"/>
  <c r="D14" i="1" s="1"/>
  <c r="D15" i="1" s="1"/>
  <c r="D16" i="1" s="1"/>
  <c r="K19" i="1"/>
  <c r="O19" i="1" s="1"/>
  <c r="K20" i="1"/>
  <c r="I11" i="5" s="1"/>
  <c r="I10" i="6"/>
  <c r="K14" i="3"/>
  <c r="H25" i="1" s="1"/>
  <c r="K25" i="1" s="1"/>
  <c r="I9" i="5"/>
  <c r="H26" i="1"/>
  <c r="K26" i="1" s="1"/>
  <c r="H11" i="16"/>
  <c r="I10" i="16"/>
  <c r="H27" i="1" s="1"/>
  <c r="K27" i="1" s="1"/>
  <c r="I11" i="2"/>
  <c r="H28" i="1"/>
  <c r="K28" i="1" s="1"/>
  <c r="J9" i="6"/>
  <c r="H29" i="1"/>
  <c r="K29" i="1" s="1"/>
  <c r="G6" i="18"/>
  <c r="J10" i="18" s="1"/>
  <c r="H24" i="1" s="1"/>
  <c r="K24" i="1" s="1"/>
  <c r="G7" i="18"/>
  <c r="G9" i="18"/>
  <c r="G10" i="18"/>
  <c r="A11" i="16"/>
  <c r="H10" i="16"/>
  <c r="A10" i="16"/>
  <c r="I10" i="5"/>
  <c r="A11" i="3"/>
  <c r="I6" i="9"/>
  <c r="I18" i="9" s="1"/>
  <c r="I7" i="9"/>
  <c r="I8" i="9"/>
  <c r="I9" i="9"/>
  <c r="I10" i="9"/>
  <c r="I11" i="9"/>
  <c r="I12" i="9"/>
  <c r="I13" i="9"/>
  <c r="I14" i="9"/>
  <c r="I15" i="9"/>
  <c r="I16" i="9"/>
  <c r="I17" i="9"/>
  <c r="J11" i="5"/>
  <c r="J6" i="1"/>
  <c r="K11" i="1"/>
  <c r="H13" i="1"/>
  <c r="E12" i="9"/>
  <c r="H12" i="9" s="1"/>
  <c r="F37" i="1"/>
  <c r="J10" i="5"/>
  <c r="H11" i="5"/>
  <c r="L11" i="3"/>
  <c r="L12" i="3"/>
  <c r="J11" i="2"/>
  <c r="J12" i="2"/>
  <c r="K10" i="6"/>
  <c r="K11" i="6"/>
  <c r="H36" i="1"/>
  <c r="J36" i="1"/>
  <c r="A11" i="5"/>
  <c r="A11" i="2"/>
  <c r="A10" i="5"/>
  <c r="V7" i="1"/>
  <c r="V16" i="1"/>
  <c r="V18" i="1"/>
  <c r="F12" i="1"/>
  <c r="D49" i="1" s="1"/>
  <c r="F11" i="1"/>
  <c r="D50" i="1"/>
  <c r="F50" i="1"/>
  <c r="F51" i="1" s="1"/>
  <c r="F49" i="1"/>
  <c r="D26" i="1"/>
  <c r="R26" i="1"/>
  <c r="H18" i="9" l="1"/>
  <c r="D29" i="1"/>
  <c r="H31" i="1"/>
  <c r="H37" i="1" s="1"/>
  <c r="J37" i="1" s="1"/>
  <c r="F52" i="1"/>
  <c r="F53" i="1"/>
  <c r="O20" i="1"/>
  <c r="Y22" i="1"/>
  <c r="D51" i="1"/>
  <c r="D52" i="1" s="1"/>
  <c r="I11" i="6"/>
  <c r="A12" i="2"/>
  <c r="J16" i="9"/>
  <c r="A11" i="6"/>
  <c r="R7" i="1"/>
  <c r="R16" i="1" s="1"/>
  <c r="R17" i="1" s="1"/>
  <c r="J55" i="9"/>
  <c r="A12" i="3"/>
  <c r="H12" i="2"/>
  <c r="J12" i="3"/>
  <c r="H23" i="1" l="1"/>
  <c r="Y23" i="1"/>
  <c r="C32" i="1"/>
  <c r="R18" i="1"/>
  <c r="T18" i="1" s="1"/>
  <c r="D25" i="1" s="1"/>
  <c r="D40" i="1" s="1"/>
  <c r="T17" i="1"/>
  <c r="H30" i="1" l="1"/>
  <c r="K30" i="1" s="1"/>
  <c r="K23" i="1"/>
  <c r="H11" i="2" s="1"/>
</calcChain>
</file>

<file path=xl/sharedStrings.xml><?xml version="1.0" encoding="utf-8"?>
<sst xmlns="http://schemas.openxmlformats.org/spreadsheetml/2006/main" count="837" uniqueCount="546">
  <si>
    <r>
      <t>If you answered yes to the question above, and you know the area-weighted bulk density within the top 12 inches for soils used for landscaping (in g/cm</t>
    </r>
    <r>
      <rPr>
        <vertAlign val="superscript"/>
        <sz val="8"/>
        <rFont val="Arial"/>
        <family val="2"/>
      </rPr>
      <t>3</t>
    </r>
    <r>
      <rPr>
        <sz val="8"/>
        <rFont val="Arial"/>
        <family val="2"/>
      </rPr>
      <t>)* , fill in the cell to the right and skip to cell G11. If not select from the drop-down menu in G10.</t>
    </r>
  </si>
  <si>
    <r>
      <t xml:space="preserve">Volume </t>
    </r>
    <r>
      <rPr>
        <vertAlign val="subscript"/>
        <sz val="12"/>
        <rFont val="Arial"/>
        <family val="2"/>
      </rPr>
      <t>design storm</t>
    </r>
    <r>
      <rPr>
        <sz val="12"/>
        <rFont val="Arial"/>
        <family val="2"/>
      </rPr>
      <t xml:space="preserve"> (in)</t>
    </r>
  </si>
  <si>
    <r>
      <t xml:space="preserve">Volume </t>
    </r>
    <r>
      <rPr>
        <vertAlign val="subscript"/>
        <sz val="12"/>
        <rFont val="Arial"/>
        <family val="2"/>
      </rPr>
      <t>design storm</t>
    </r>
    <r>
      <rPr>
        <sz val="12"/>
        <rFont val="Arial"/>
        <family val="2"/>
      </rPr>
      <t xml:space="preserve"> (cu ft)</t>
    </r>
  </si>
  <si>
    <t>RCN</t>
  </si>
  <si>
    <t xml:space="preserve">existing </t>
  </si>
  <si>
    <t>pervious Pavement Actual</t>
  </si>
  <si>
    <t>Pervious Pavement Equilivant</t>
  </si>
  <si>
    <t>The Amount of rainfall needed for runoff to occur (Existing runoff curve number -P from existing RCN (in)^)</t>
  </si>
  <si>
    <t>Square feet under an existing tree canopy, that will remain on the property, with an average diameter at 4.5 ft above grade (i.e., diameter at breast height or DBH) is LESS than 12 in diameter.</t>
    <phoneticPr fontId="0" type="noConversion"/>
  </si>
  <si>
    <t>Average capacity of rain barrel(s)/cistern(s) (in gallons)</t>
    <phoneticPr fontId="0" type="noConversion"/>
  </si>
  <si>
    <t xml:space="preserve">Total number of rain barrel(s)/cisterns </t>
    <phoneticPr fontId="0" type="noConversion"/>
  </si>
  <si>
    <t xml:space="preserve">Square feet Under  Canopy </t>
    <phoneticPr fontId="0" type="noConversion"/>
  </si>
  <si>
    <r>
      <t>(Step 1b)</t>
    </r>
    <r>
      <rPr>
        <sz val="12"/>
        <color indexed="14"/>
        <rFont val="Arial"/>
        <family val="2"/>
      </rPr>
      <t xml:space="preserve"> </t>
    </r>
    <r>
      <rPr>
        <sz val="12"/>
        <rFont val="Arial"/>
        <family val="2"/>
      </rPr>
      <t xml:space="preserve">If you can not answer 1a then select the county where the project is located (click on the cell to the right for drop-down):    This will determine the average 85th percentile 24 hr. storm event for your site, which will appear under precipitation to left.                     </t>
    </r>
  </si>
  <si>
    <r>
      <t>(Step 1c)</t>
    </r>
    <r>
      <rPr>
        <sz val="12"/>
        <rFont val="Arial"/>
        <family val="2"/>
      </rPr>
      <t xml:space="preserve"> If you would like a more percise value select the location closest to your site. If you do not recgonize any of these locations, leave this drop-down menu at location. The average value for the County will be used. </t>
    </r>
  </si>
  <si>
    <r>
      <t xml:space="preserve">(Step 2) </t>
    </r>
    <r>
      <rPr>
        <sz val="12"/>
        <rFont val="Arial"/>
        <family val="2"/>
      </rPr>
      <t>Indicate the Soil Type (dropdown menu to right):</t>
    </r>
  </si>
  <si>
    <r>
      <t>(Step 3)</t>
    </r>
    <r>
      <rPr>
        <sz val="12"/>
        <rFont val="Arial"/>
        <family val="2"/>
      </rPr>
      <t xml:space="preserve"> Indicate the existing </t>
    </r>
    <r>
      <rPr>
        <b/>
        <sz val="12"/>
        <rFont val="Arial"/>
        <family val="2"/>
      </rPr>
      <t>dominant</t>
    </r>
    <r>
      <rPr>
        <sz val="12"/>
        <rFont val="Arial"/>
        <family val="2"/>
      </rPr>
      <t xml:space="preserve"> non-built land Use Type (dropdown menu to right):</t>
    </r>
  </si>
  <si>
    <r>
      <t xml:space="preserve">(Step 4) </t>
    </r>
    <r>
      <rPr>
        <sz val="12"/>
        <rFont val="Arial"/>
        <family val="2"/>
      </rPr>
      <t xml:space="preserve">Indicate the proposed </t>
    </r>
    <r>
      <rPr>
        <b/>
        <sz val="12"/>
        <rFont val="Arial"/>
        <family val="2"/>
      </rPr>
      <t>dominant</t>
    </r>
    <r>
      <rPr>
        <sz val="12"/>
        <rFont val="Arial"/>
        <family val="2"/>
      </rPr>
      <t xml:space="preserve"> non-built land Use Type (dropdown menu to right):</t>
    </r>
  </si>
  <si>
    <r>
      <t xml:space="preserve">(Step 5) </t>
    </r>
    <r>
      <rPr>
        <i/>
        <sz val="12"/>
        <rFont val="Arial"/>
        <family val="2"/>
      </rPr>
      <t>Total Project Site Area:</t>
    </r>
  </si>
  <si>
    <r>
      <t>(Step 6)</t>
    </r>
    <r>
      <rPr>
        <i/>
        <sz val="12"/>
        <rFont val="Arial"/>
        <family val="2"/>
      </rPr>
      <t xml:space="preserve"> Sub-watershed Area:</t>
    </r>
  </si>
  <si>
    <r>
      <t>(Step 1a)</t>
    </r>
    <r>
      <rPr>
        <sz val="12"/>
        <rFont val="Arial"/>
        <family val="2"/>
      </rPr>
      <t xml:space="preserve"> If you know the 85th percentile storm event for your location enter it in the box below</t>
    </r>
    <phoneticPr fontId="0" type="noConversion"/>
  </si>
  <si>
    <r>
      <t>1</t>
    </r>
    <r>
      <rPr>
        <sz val="10"/>
        <rFont val="Arial"/>
      </rPr>
      <t xml:space="preserve"> accounts for 10% loss</t>
    </r>
  </si>
  <si>
    <t>Waste Discharge Identification (WDID):</t>
  </si>
  <si>
    <t>LAKE</t>
  </si>
  <si>
    <t>LASSEN</t>
  </si>
  <si>
    <t>Please describe below how the project will ensure that these trees will be maintained.</t>
  </si>
  <si>
    <t>Existing Land Use Type</t>
  </si>
  <si>
    <t>Soil Type</t>
  </si>
  <si>
    <t>Runoff Curve Number</t>
  </si>
  <si>
    <t>In Acres</t>
  </si>
  <si>
    <t>Sub-watershed Area (acres)</t>
  </si>
  <si>
    <t>^Available at www.cabmphandbooks.com</t>
  </si>
  <si>
    <t>Impervious</t>
  </si>
  <si>
    <t xml:space="preserve">Vegetated Swale Credit Criteria </t>
  </si>
  <si>
    <t>Total</t>
  </si>
  <si>
    <t>Project Name:</t>
  </si>
  <si>
    <t>Date:</t>
  </si>
  <si>
    <t>SAN_MATEO</t>
  </si>
  <si>
    <t>SANTA_BARBARA</t>
  </si>
  <si>
    <t>Downspout Disconnection Credit Worksheet</t>
  </si>
  <si>
    <t>ORANGE</t>
  </si>
  <si>
    <t>PLACER</t>
  </si>
  <si>
    <t>Impervious Area Disconnection Credit Worksheet</t>
  </si>
  <si>
    <t>Porous Pavement</t>
  </si>
  <si>
    <t>http://www.globe.gov/sda/tg/pardensity.pdf</t>
  </si>
  <si>
    <t xml:space="preserve">Non-Rooftop Disconnection Credit Criteria </t>
  </si>
  <si>
    <t xml:space="preserve">Stream Buffer Credit Criteria </t>
  </si>
  <si>
    <t>Please fill out a porous pavement credit worksheet for each project sub-watershed.</t>
  </si>
  <si>
    <t>S</t>
  </si>
  <si>
    <t>Subtotal</t>
  </si>
  <si>
    <t>Response</t>
  </si>
  <si>
    <t>yes / no</t>
  </si>
  <si>
    <t>Tree Canopy Credit Criteria</t>
  </si>
  <si>
    <t>Tree Planting</t>
  </si>
  <si>
    <t>Return to Calculator</t>
  </si>
  <si>
    <t>Sq Ft</t>
  </si>
  <si>
    <t>Acres</t>
  </si>
  <si>
    <t>Complete Either</t>
  </si>
  <si>
    <t>SONOMA</t>
  </si>
  <si>
    <t>STANISLAUS</t>
  </si>
  <si>
    <t>TEHAMA</t>
  </si>
  <si>
    <t>TRINITY</t>
  </si>
  <si>
    <t>MONTEREY</t>
  </si>
  <si>
    <r>
      <t xml:space="preserve">(Step 8) </t>
    </r>
    <r>
      <rPr>
        <b/>
        <i/>
        <sz val="12"/>
        <rFont val="Arial"/>
        <family val="2"/>
      </rPr>
      <t>Impervious Area Reduction Credits</t>
    </r>
  </si>
  <si>
    <r>
      <t xml:space="preserve">Area of </t>
    </r>
    <r>
      <rPr>
        <b/>
        <sz val="12"/>
        <rFont val="Arial"/>
        <family val="2"/>
      </rPr>
      <t>Brick without Grout</t>
    </r>
    <r>
      <rPr>
        <sz val="12"/>
        <rFont val="Arial"/>
        <family val="2"/>
      </rPr>
      <t xml:space="preserve"> on </t>
    </r>
    <r>
      <rPr>
        <u/>
        <sz val="12"/>
        <rFont val="Arial"/>
        <family val="2"/>
      </rPr>
      <t>less than 12 inches</t>
    </r>
    <r>
      <rPr>
        <sz val="12"/>
        <rFont val="Arial"/>
        <family val="2"/>
      </rPr>
      <t xml:space="preserve"> of base with at least 20% void space over soil</t>
    </r>
  </si>
  <si>
    <r>
      <t>Area of</t>
    </r>
    <r>
      <rPr>
        <b/>
        <sz val="12"/>
        <rFont val="Arial"/>
        <family val="2"/>
      </rPr>
      <t xml:space="preserve"> Brick without Grout</t>
    </r>
    <r>
      <rPr>
        <sz val="12"/>
        <rFont val="Arial"/>
        <family val="2"/>
      </rPr>
      <t xml:space="preserve"> on </t>
    </r>
    <r>
      <rPr>
        <u/>
        <sz val="12"/>
        <rFont val="Arial"/>
        <family val="2"/>
      </rPr>
      <t>more than 12 inches</t>
    </r>
    <r>
      <rPr>
        <sz val="12"/>
        <rFont val="Arial"/>
        <family val="2"/>
      </rPr>
      <t xml:space="preserve"> of base with at least 20% void space over soil</t>
    </r>
  </si>
  <si>
    <t>Equivalent Acres</t>
  </si>
  <si>
    <t xml:space="preserve">Green Roof Credit Criteria </t>
  </si>
  <si>
    <t>Stream Buffer</t>
  </si>
  <si>
    <t>SAN_BERNARDINO</t>
  </si>
  <si>
    <t>SAN_DIEGO</t>
  </si>
  <si>
    <t>SANTA_CLARA</t>
  </si>
  <si>
    <t>SUTTER</t>
  </si>
  <si>
    <t>MENDOCINO</t>
  </si>
  <si>
    <t>MERCED</t>
  </si>
  <si>
    <t>Cu.Ft.</t>
  </si>
  <si>
    <t>G25</t>
  </si>
  <si>
    <t>Project-Related Runoff Volume Increase w/o credits (cu ft)</t>
  </si>
  <si>
    <t>Project-Related Volume Increase with Credits (cu ft)</t>
  </si>
  <si>
    <t>Percent  of total project :</t>
  </si>
  <si>
    <r>
      <t>Will the soils used for landscaping meet the ideal bulk densities listed in Table 1 below?</t>
    </r>
    <r>
      <rPr>
        <vertAlign val="superscript"/>
        <sz val="8"/>
        <rFont val="Arial"/>
        <family val="2"/>
      </rPr>
      <t>1</t>
    </r>
    <phoneticPr fontId="0" type="noConversion"/>
  </si>
  <si>
    <t>Calculated Acres</t>
    <phoneticPr fontId="0" type="noConversion"/>
  </si>
  <si>
    <t>COLUSA</t>
  </si>
  <si>
    <t>CONTRA_COSTA</t>
  </si>
  <si>
    <t>DEL_NORTE</t>
  </si>
  <si>
    <r>
      <t xml:space="preserve">Total capacity rain barrel(s)/cistern(s) (in cu ft) </t>
    </r>
    <r>
      <rPr>
        <vertAlign val="superscript"/>
        <sz val="12"/>
        <rFont val="Arial"/>
        <family val="2"/>
      </rPr>
      <t>1</t>
    </r>
    <r>
      <rPr>
        <sz val="12"/>
        <rFont val="Arial"/>
        <family val="2"/>
      </rPr>
      <t xml:space="preserve"> </t>
    </r>
  </si>
  <si>
    <t>Sandy clay loams, loams, clay loams</t>
  </si>
  <si>
    <t>Silts, silt loams</t>
  </si>
  <si>
    <t>Silt loams, silty clay loams</t>
  </si>
  <si>
    <t>Clays (&gt;45% clay)</t>
  </si>
  <si>
    <t>Sands, loamy sands</t>
  </si>
  <si>
    <t>Sub Drainage Area Name (from map):</t>
  </si>
  <si>
    <t xml:space="preserve">Proposed  Porous Pavement </t>
  </si>
  <si>
    <t>Square Feet</t>
  </si>
  <si>
    <t>Stream Buffer Credit Worksheet</t>
  </si>
  <si>
    <t>In SqFt.</t>
  </si>
  <si>
    <t>Fill in either Acres or SqFt</t>
  </si>
  <si>
    <t>Number of Trees Planted</t>
  </si>
  <si>
    <t>KERN</t>
  </si>
  <si>
    <t>KINGS</t>
  </si>
  <si>
    <t>**Using Site Design Techniques to meet Development Standards for Stormwater Quality (BASMAA 2003)</t>
  </si>
  <si>
    <t xml:space="preserve">Downspout Disconnection Credit Criteria </t>
  </si>
  <si>
    <t>Group A Soils</t>
  </si>
  <si>
    <t>Group B Soils</t>
  </si>
  <si>
    <t>Group C Soils</t>
  </si>
  <si>
    <t>Group D Soils</t>
  </si>
  <si>
    <t>Impervious Area Disconnection</t>
  </si>
  <si>
    <t>Vegetated Swales</t>
  </si>
  <si>
    <t>Rain Barrels/Cisterns</t>
  </si>
  <si>
    <t>MODOC</t>
  </si>
  <si>
    <t>MONO</t>
  </si>
  <si>
    <t xml:space="preserve">Rain Barrel/Cistern Credit Criteria </t>
  </si>
  <si>
    <t>NAPA</t>
  </si>
  <si>
    <t>NEVADA</t>
  </si>
  <si>
    <t>MARIPOSA</t>
  </si>
  <si>
    <t>Modified from: Chow, V. T, D. R. Maidment, and L. W. Mays.  1988.  Applied Hydrology.   McGraw-Hill, Inc.</t>
  </si>
  <si>
    <t xml:space="preserve">* To determine how to calculate density see: </t>
  </si>
  <si>
    <t>Sandy loams, loams</t>
  </si>
  <si>
    <t>&lt;1.6</t>
  </si>
  <si>
    <t>&lt;1.4</t>
  </si>
  <si>
    <t>&lt;1.3</t>
  </si>
  <si>
    <t>&lt;1.1</t>
  </si>
  <si>
    <t>Table 1</t>
  </si>
  <si>
    <t>Vegetated Swale Credit Worksheet</t>
  </si>
  <si>
    <t>EL_DORADO</t>
  </si>
  <si>
    <t>SANTA_CRUZ</t>
  </si>
  <si>
    <t>P used for calculations (in) (the greater of the above two criteria)</t>
  </si>
  <si>
    <t>SAN_LUIS_OBISPO</t>
  </si>
  <si>
    <t xml:space="preserve">User may make changes from any cell that is orange or brown in color  (similar to the cells to the immediate right). Cells in green are calculated for you.  </t>
  </si>
  <si>
    <t>for existing land use</t>
  </si>
  <si>
    <t>Please fill out a soil quality worksheet for each project sub-watershed.</t>
  </si>
  <si>
    <t>Sandy clays, silty clays, some clay loams (35-45% clay)</t>
  </si>
  <si>
    <t>COUNTY</t>
  </si>
  <si>
    <t>Please fill out a rain barrel/cistern  worksheet for each project sub-watershed.</t>
  </si>
  <si>
    <t>Volume (cubic feet)</t>
  </si>
  <si>
    <t>Porous Pavement Credit Worksheet</t>
  </si>
  <si>
    <t>TULARE</t>
  </si>
  <si>
    <t>TUOLUMNE</t>
  </si>
  <si>
    <t>VENTURA</t>
  </si>
  <si>
    <t>YOLO</t>
  </si>
  <si>
    <t>YUBA</t>
  </si>
  <si>
    <t>ALAMEDA</t>
  </si>
  <si>
    <t>ALPINE</t>
  </si>
  <si>
    <t>AMADOR</t>
  </si>
  <si>
    <t>BUTTE</t>
  </si>
  <si>
    <t>HUMBOLDT</t>
  </si>
  <si>
    <t>Rain Barrel/Cistern Credit Worksheet</t>
  </si>
  <si>
    <r>
      <t xml:space="preserve">Area of </t>
    </r>
    <r>
      <rPr>
        <b/>
        <sz val="12"/>
        <rFont val="Arial"/>
        <family val="2"/>
      </rPr>
      <t xml:space="preserve">Poured Porous Concrete or Asphalt Pavement </t>
    </r>
    <r>
      <rPr>
        <sz val="12"/>
        <rFont val="Arial"/>
        <family val="2"/>
      </rPr>
      <t xml:space="preserve">with  </t>
    </r>
    <r>
      <rPr>
        <u/>
        <sz val="12"/>
        <rFont val="Arial"/>
        <family val="2"/>
      </rPr>
      <t>4 to 8 inches</t>
    </r>
    <r>
      <rPr>
        <sz val="12"/>
        <rFont val="Arial"/>
        <family val="2"/>
      </rPr>
      <t xml:space="preserve"> of gravel base (washed stone) </t>
    </r>
  </si>
  <si>
    <r>
      <t xml:space="preserve">Area of </t>
    </r>
    <r>
      <rPr>
        <b/>
        <sz val="12"/>
        <rFont val="Arial"/>
        <family val="2"/>
      </rPr>
      <t xml:space="preserve">Poured Porous Concrete or Asphalt Pavement </t>
    </r>
    <r>
      <rPr>
        <sz val="12"/>
        <rFont val="Arial"/>
        <family val="2"/>
      </rPr>
      <t xml:space="preserve">with </t>
    </r>
    <r>
      <rPr>
        <u/>
        <sz val="12"/>
        <rFont val="Arial"/>
        <family val="2"/>
      </rPr>
      <t xml:space="preserve"> 8 to 12 inches</t>
    </r>
    <r>
      <rPr>
        <sz val="12"/>
        <rFont val="Arial"/>
        <family val="2"/>
      </rPr>
      <t xml:space="preserve"> of gravel base (washed stone) </t>
    </r>
  </si>
  <si>
    <r>
      <t xml:space="preserve">Area of </t>
    </r>
    <r>
      <rPr>
        <b/>
        <sz val="12"/>
        <rFont val="Arial"/>
        <family val="2"/>
      </rPr>
      <t xml:space="preserve">Poured Porous Concrete or Asphalt Pavement </t>
    </r>
    <r>
      <rPr>
        <sz val="12"/>
        <rFont val="Arial"/>
        <family val="2"/>
      </rPr>
      <t xml:space="preserve">with  </t>
    </r>
    <r>
      <rPr>
        <u/>
        <sz val="12"/>
        <rFont val="Arial"/>
        <family val="2"/>
      </rPr>
      <t xml:space="preserve">12 or more </t>
    </r>
    <r>
      <rPr>
        <sz val="12"/>
        <rFont val="Arial"/>
        <family val="2"/>
      </rPr>
      <t xml:space="preserve"> inches of gravel base (washed stone) </t>
    </r>
  </si>
  <si>
    <t>For the PROPOSED Development:</t>
  </si>
  <si>
    <t>Runoff Reduction*</t>
  </si>
  <si>
    <t>*=1-Rv**</t>
  </si>
  <si>
    <r>
      <t xml:space="preserve">Area of </t>
    </r>
    <r>
      <rPr>
        <b/>
        <sz val="12"/>
        <rFont val="Arial"/>
        <family val="2"/>
      </rPr>
      <t>Reinforced Grass Pavement</t>
    </r>
    <r>
      <rPr>
        <sz val="12"/>
        <rFont val="Arial"/>
        <family val="2"/>
      </rPr>
      <t xml:space="preserve"> on </t>
    </r>
    <r>
      <rPr>
        <u/>
        <sz val="12"/>
        <rFont val="Arial"/>
        <family val="2"/>
      </rPr>
      <t>less than 12 inches</t>
    </r>
    <r>
      <rPr>
        <sz val="12"/>
        <rFont val="Arial"/>
        <family val="2"/>
      </rPr>
      <t xml:space="preserve"> of base with at least 20% void space over soil</t>
    </r>
  </si>
  <si>
    <t>LOS_ANGELES</t>
  </si>
  <si>
    <t>INYO</t>
  </si>
  <si>
    <t>Downspout Disconnection</t>
  </si>
  <si>
    <t>PLUMAS</t>
  </si>
  <si>
    <t>RIVERSIDE</t>
  </si>
  <si>
    <t>SACRAMENTO</t>
  </si>
  <si>
    <t>SAN_BENITO</t>
  </si>
  <si>
    <t>MOJAVE</t>
  </si>
  <si>
    <t>TAFT</t>
  </si>
  <si>
    <t>TEHACHAPI AIRPORT</t>
  </si>
  <si>
    <t>WELDON 1 WSW</t>
  </si>
  <si>
    <t>CORCORAN IRRIG DIST</t>
  </si>
  <si>
    <t>DIAMOND BAR</t>
  </si>
  <si>
    <t>SAN FERNANDO PH 3</t>
  </si>
  <si>
    <t>SAN GABRIEL DAM FC425B</t>
  </si>
  <si>
    <t>SANDBERG</t>
  </si>
  <si>
    <t>SANTA FE DAM</t>
  </si>
  <si>
    <t>Please fill out a tree canopy credit worksheet for each project sub-watershed.</t>
  </si>
  <si>
    <t>SIERRA</t>
  </si>
  <si>
    <t>SISKIYOU</t>
  </si>
  <si>
    <t>SOLANO</t>
  </si>
  <si>
    <t>MADERA</t>
  </si>
  <si>
    <t>MARIN</t>
  </si>
  <si>
    <t>Pre-Project Runoff Volume (cu ft)</t>
  </si>
  <si>
    <t>Tree Planting Credit Worksheet</t>
  </si>
  <si>
    <t>Area Credit (acres)</t>
  </si>
  <si>
    <t>Runoff Calculations</t>
  </si>
  <si>
    <r>
      <t xml:space="preserve">Area of </t>
    </r>
    <r>
      <rPr>
        <b/>
        <sz val="12"/>
        <rFont val="Arial"/>
        <family val="2"/>
      </rPr>
      <t>Porous Gravel Pavement</t>
    </r>
    <r>
      <rPr>
        <sz val="12"/>
        <rFont val="Arial"/>
        <family val="2"/>
      </rPr>
      <t xml:space="preserve"> on </t>
    </r>
    <r>
      <rPr>
        <u/>
        <sz val="12"/>
        <rFont val="Arial"/>
        <family val="2"/>
      </rPr>
      <t>less than 12 inches</t>
    </r>
    <r>
      <rPr>
        <sz val="12"/>
        <rFont val="Arial"/>
        <family val="2"/>
      </rPr>
      <t xml:space="preserve"> of base with at least 20% void space over soil</t>
    </r>
  </si>
  <si>
    <r>
      <t xml:space="preserve">Area of </t>
    </r>
    <r>
      <rPr>
        <b/>
        <sz val="12"/>
        <rFont val="Arial"/>
        <family val="2"/>
      </rPr>
      <t>Porous Gravel Pavement</t>
    </r>
    <r>
      <rPr>
        <sz val="12"/>
        <rFont val="Arial"/>
        <family val="2"/>
      </rPr>
      <t xml:space="preserve"> on </t>
    </r>
    <r>
      <rPr>
        <u/>
        <sz val="12"/>
        <rFont val="Arial"/>
        <family val="2"/>
      </rPr>
      <t>at least 12 inches</t>
    </r>
    <r>
      <rPr>
        <sz val="12"/>
        <rFont val="Arial"/>
        <family val="2"/>
      </rPr>
      <t xml:space="preserve"> of base with at least 20% void space over soil</t>
    </r>
  </si>
  <si>
    <t>Optional</t>
  </si>
  <si>
    <r>
      <t xml:space="preserve">Area of </t>
    </r>
    <r>
      <rPr>
        <b/>
        <sz val="12"/>
        <rFont val="Arial"/>
        <family val="2"/>
      </rPr>
      <t>Cobbles</t>
    </r>
    <r>
      <rPr>
        <sz val="12"/>
        <rFont val="Arial"/>
        <family val="2"/>
      </rPr>
      <t xml:space="preserve"> </t>
    </r>
    <r>
      <rPr>
        <u/>
        <sz val="12"/>
        <rFont val="Arial"/>
        <family val="2"/>
      </rPr>
      <t>less than 12 inches</t>
    </r>
    <r>
      <rPr>
        <sz val="12"/>
        <rFont val="Arial"/>
        <family val="2"/>
      </rPr>
      <t xml:space="preserve"> deep and over soil</t>
    </r>
  </si>
  <si>
    <t>SAN_FRANCISCO</t>
  </si>
  <si>
    <t>SAN_JOAQUIN</t>
  </si>
  <si>
    <t>NEEDLES</t>
  </si>
  <si>
    <t>PARKER RESERVOIR</t>
  </si>
  <si>
    <t>RUNNING SPRINGS 1 E</t>
  </si>
  <si>
    <t>SANTA ANA RIVER P H 3</t>
  </si>
  <si>
    <t>VICTORVILLE PUMP PLANT</t>
  </si>
  <si>
    <t>Based on the County you indicated above, we have included the 85 percentile average 24 hr event - P85 (in)^ for your area.</t>
  </si>
  <si>
    <t>In</t>
  </si>
  <si>
    <t>in</t>
  </si>
  <si>
    <t>for new land use</t>
  </si>
  <si>
    <t>EL CAPITAN DAM</t>
  </si>
  <si>
    <t>FALLBROOK</t>
  </si>
  <si>
    <t>HENSHAW DAM</t>
  </si>
  <si>
    <t>LAKE WOHLFORD</t>
  </si>
  <si>
    <r>
      <t>If you answered yes to the question above, but you do not know the exact bulk density, which of the soil types in the drop down menu to the right best describes the top 12 inches for soils used for landscaping (in g/cm</t>
    </r>
    <r>
      <rPr>
        <vertAlign val="superscript"/>
        <sz val="8"/>
        <rFont val="Arial"/>
        <family val="2"/>
      </rPr>
      <t>3</t>
    </r>
    <r>
      <rPr>
        <sz val="8"/>
        <rFont val="Arial"/>
        <family val="2"/>
      </rPr>
      <t>).</t>
    </r>
  </si>
  <si>
    <r>
      <t>1</t>
    </r>
    <r>
      <rPr>
        <sz val="8"/>
        <rFont val="Arial"/>
        <family val="2"/>
      </rPr>
      <t xml:space="preserve"> USDA NRCS. "Soil Quality Urban Technical Note No.2-Urban Soil Compaction". March 2000.</t>
    </r>
  </si>
  <si>
    <r>
      <t xml:space="preserve">Area of </t>
    </r>
    <r>
      <rPr>
        <b/>
        <sz val="12"/>
        <rFont val="Arial"/>
        <family val="2"/>
      </rPr>
      <t>Poured Porous Concrete or Asphalt Pavement</t>
    </r>
    <r>
      <rPr>
        <sz val="12"/>
        <rFont val="Arial"/>
        <family val="2"/>
      </rPr>
      <t xml:space="preserve"> with </t>
    </r>
    <r>
      <rPr>
        <u/>
        <sz val="12"/>
        <rFont val="Arial"/>
        <family val="2"/>
      </rPr>
      <t>less than 4 inches</t>
    </r>
    <r>
      <rPr>
        <sz val="12"/>
        <rFont val="Arial"/>
        <family val="2"/>
      </rPr>
      <t xml:space="preserve"> of gravel base (washed stone) </t>
    </r>
  </si>
  <si>
    <t>cu ft</t>
  </si>
  <si>
    <t>Green Roof</t>
  </si>
  <si>
    <t>CALAVERAS</t>
  </si>
  <si>
    <t xml:space="preserve">Description of Land Use  </t>
  </si>
  <si>
    <t>Hydrologic Soil Group</t>
  </si>
  <si>
    <t xml:space="preserve">A </t>
  </si>
  <si>
    <t xml:space="preserve">B </t>
  </si>
  <si>
    <t>HAYWARD 4 ESE</t>
  </si>
  <si>
    <t>OAKLAND WSO AP</t>
  </si>
  <si>
    <t>UPPER SAN LEANDRO FLTR</t>
  </si>
  <si>
    <t>MARKLEEVILLE</t>
  </si>
  <si>
    <t>FIDDLETOWN DEXTER RANCH</t>
  </si>
  <si>
    <t>TIGER CREEK PH</t>
  </si>
  <si>
    <t>BRUSH CREEK R S</t>
  </si>
  <si>
    <t>CHICO UNIVERSITY FARM</t>
  </si>
  <si>
    <t>OROVILLE R S</t>
  </si>
  <si>
    <t>STIRLING CITY R S</t>
  </si>
  <si>
    <t>CALAVERAS R S</t>
  </si>
  <si>
    <t>CAMP PARDEE</t>
  </si>
  <si>
    <t>WILLIAMS</t>
  </si>
  <si>
    <t>BRENTWOOD 6 SW</t>
  </si>
  <si>
    <t>MARTINEZ 2 S</t>
  </si>
  <si>
    <t>WALNUT CREEK 2 ENE</t>
  </si>
  <si>
    <t>CRESCENT CITY MNTC STN</t>
  </si>
  <si>
    <t>KLAMATH</t>
  </si>
  <si>
    <t>BLODGETT EXP FOREST</t>
  </si>
  <si>
    <t>GEORGETOWN R S</t>
  </si>
  <si>
    <t>KYBURZ STRAWBERRY</t>
  </si>
  <si>
    <t>PLACERVILLE DISP PLANT</t>
  </si>
  <si>
    <t>ROBBS PEAK P H</t>
  </si>
  <si>
    <t>BALCH POWER HOUSE</t>
  </si>
  <si>
    <t>COALINGA 1 SE</t>
  </si>
  <si>
    <t>FLORENCE LAKE</t>
  </si>
  <si>
    <t>FRESNO YOSEMITE INTL</t>
  </si>
  <si>
    <t>HUNTINGTON LAKE</t>
  </si>
  <si>
    <t>STONY GORGE RESERVOIR</t>
  </si>
  <si>
    <t>EUREKA WFO WOODLEY IS</t>
  </si>
  <si>
    <t>KNEELAND 10 SSE</t>
  </si>
  <si>
    <t>MIRANDA 4 SE</t>
  </si>
  <si>
    <t>MIRANDA SPENGLER RANCH</t>
  </si>
  <si>
    <t>EL CENTRO 2 SSW</t>
  </si>
  <si>
    <t>BISHOP AP</t>
  </si>
  <si>
    <t>LONE PINE COTTONWOOD PH</t>
  </si>
  <si>
    <t>BAKERSFIELD AP</t>
  </si>
  <si>
    <t>BORON</t>
  </si>
  <si>
    <t>GLENNVILLE FULTON RNGR</t>
  </si>
  <si>
    <t>LOST HILLS</t>
  </si>
  <si>
    <t>Pasture/Grassland/Range: &gt;75% ground cover &amp; lightly grazed</t>
  </si>
  <si>
    <t>SEPULVEDA DAM</t>
  </si>
  <si>
    <t>SIGNAL HILL FC 415</t>
  </si>
  <si>
    <t>HANSEN DAM</t>
  </si>
  <si>
    <t>LECHUZA PTRL ST FC352B</t>
  </si>
  <si>
    <t>LOS ANGELES CIVIC CENTE</t>
  </si>
  <si>
    <t>LOS ANGELES WSO ARPT</t>
  </si>
  <si>
    <t>NEWHALL S FC32CE</t>
  </si>
  <si>
    <t>PALMDALE</t>
  </si>
  <si>
    <t>SAN DIMAS TANBARK FLAT</t>
  </si>
  <si>
    <t>Pasture/Grassland/Range: 50% to 75% ground cover &amp; not heavily grazed</t>
  </si>
  <si>
    <t>MOUNT TAMALPAIS 2 SW</t>
  </si>
  <si>
    <t>NOVATO 8 WNW</t>
  </si>
  <si>
    <t>CATHEYS VLY BULL R RCH</t>
  </si>
  <si>
    <t>WAWONA RANGER STATION</t>
  </si>
  <si>
    <t>YOSEMITE PARK HDQTRS</t>
  </si>
  <si>
    <t>COVELO EEL RIVER RS</t>
  </si>
  <si>
    <t>FORT BRAGG 5 N</t>
  </si>
  <si>
    <t>LAYTONVILLE</t>
  </si>
  <si>
    <t>NAVARRO 1 NW</t>
  </si>
  <si>
    <t>POINT ARENA</t>
  </si>
  <si>
    <t>POTTER VALLEY 3 SE</t>
  </si>
  <si>
    <t>POTTER VALLEY P H</t>
  </si>
  <si>
    <t>WILLITS HOWARD FOREST R</t>
  </si>
  <si>
    <t>YORKVILLE</t>
  </si>
  <si>
    <t>MERCED 2</t>
  </si>
  <si>
    <t>FRESNO</t>
  </si>
  <si>
    <t>GLENN</t>
  </si>
  <si>
    <t xml:space="preserve">C </t>
  </si>
  <si>
    <t>D</t>
  </si>
  <si>
    <t>http://soils.usda.gov/sqi/management/files/sq_utn_2.pdf</t>
  </si>
  <si>
    <t>IMPERIAL</t>
  </si>
  <si>
    <t>FULLERTON DAM</t>
  </si>
  <si>
    <t>LAGUNA BEACH 2</t>
  </si>
  <si>
    <t>ORANGE COUNTY RESERVOIR</t>
  </si>
  <si>
    <t>SAN JUAN GUARD STN</t>
  </si>
  <si>
    <t>SANTIAGO DAM</t>
  </si>
  <si>
    <t>SILVERADO RANGER STN</t>
  </si>
  <si>
    <t>TRABUCO CANYON</t>
  </si>
  <si>
    <t>BLUE CANYON</t>
  </si>
  <si>
    <t>HELL HOLE</t>
  </si>
  <si>
    <t>MICHIGAN BLUFF</t>
  </si>
  <si>
    <t>HAMILTON BRANCH FIRE DE</t>
  </si>
  <si>
    <t>PLUMAS EUREKA STATE PAR</t>
  </si>
  <si>
    <t>PORTOLA</t>
  </si>
  <si>
    <t>BEAUMONT</t>
  </si>
  <si>
    <t>BLYTHE 7 W</t>
  </si>
  <si>
    <t>ELSINORE</t>
  </si>
  <si>
    <t>HAYFIELD PUMPING PLANT</t>
  </si>
  <si>
    <t>HURKEY CREEK PARK</t>
  </si>
  <si>
    <t>IDYLLWILD FIRE DEPT</t>
  </si>
  <si>
    <t>PRADO DAM</t>
  </si>
  <si>
    <t>RIVERSIDE CITRUS EXP ST</t>
  </si>
  <si>
    <t>SAN JACINTO R S</t>
  </si>
  <si>
    <t>SACRAMENTO DOWNTOWN</t>
  </si>
  <si>
    <t>SACRAMENTO FAA ARPT</t>
  </si>
  <si>
    <t>SAN BENITO</t>
  </si>
  <si>
    <t>HERNANDEZ 7 SE</t>
  </si>
  <si>
    <t>LYTLE CREEK FOOTHILL BL</t>
  </si>
  <si>
    <t>LYTLE CREEK R S</t>
  </si>
  <si>
    <t>MILL CREEK INTAKE</t>
  </si>
  <si>
    <t xml:space="preserve">Total Runoff Volume Reduction Credit </t>
    <phoneticPr fontId="0" type="noConversion"/>
  </si>
  <si>
    <t>LOWER OTAY RESERVOIR</t>
  </si>
  <si>
    <t>MORENA DAM</t>
  </si>
  <si>
    <t>CRAWFORD RANCH</t>
  </si>
  <si>
    <t>CUYAMACA</t>
  </si>
  <si>
    <t>SAN DIEGO WSO AIRPORT</t>
  </si>
  <si>
    <t>WARNER SPRINGS</t>
  </si>
  <si>
    <t>SAN FRANCISCO DOWNTOWN</t>
  </si>
  <si>
    <t>SAN FRANCISCO OCEANSIDE</t>
  </si>
  <si>
    <t>STOCKTON AP</t>
  </si>
  <si>
    <t>STOCKTON DISPOSAL PLANT</t>
  </si>
  <si>
    <t>TRACY 2 SSE</t>
  </si>
  <si>
    <t>SAN LUIS OBISPO</t>
  </si>
  <si>
    <t>CHOLAME ALLEY RANCH</t>
  </si>
  <si>
    <t>HUASNA</t>
  </si>
  <si>
    <t>SAN FRANCISCO WSO AP</t>
  </si>
  <si>
    <t>SANTA BARBARA</t>
  </si>
  <si>
    <t>CACHUMA LAKE</t>
  </si>
  <si>
    <t>CARPINTERIA RESERVOIR</t>
  </si>
  <si>
    <t>FIGUEROA MOUNTAIN</t>
  </si>
  <si>
    <t>SAN MARCOS PASS</t>
  </si>
  <si>
    <t>SANTA MARIA WSO ARPT</t>
  </si>
  <si>
    <t>SANTA YNEZ</t>
  </si>
  <si>
    <t>SURF 2 ENE</t>
  </si>
  <si>
    <t>GILROY 8 NE</t>
  </si>
  <si>
    <t>http://www.globe.gov/tctg/bulkden.pdf?sectionID=94</t>
  </si>
  <si>
    <r>
      <t xml:space="preserve">Area of </t>
    </r>
    <r>
      <rPr>
        <b/>
        <sz val="12"/>
        <rFont val="Arial"/>
        <family val="2"/>
      </rPr>
      <t>Reinforced Grass Pavement</t>
    </r>
    <r>
      <rPr>
        <sz val="12"/>
        <rFont val="Arial"/>
        <family val="2"/>
      </rPr>
      <t xml:space="preserve"> on </t>
    </r>
    <r>
      <rPr>
        <u/>
        <sz val="12"/>
        <rFont val="Arial"/>
        <family val="2"/>
      </rPr>
      <t>at least 12 inches</t>
    </r>
    <r>
      <rPr>
        <sz val="12"/>
        <rFont val="Arial"/>
        <family val="2"/>
      </rPr>
      <t xml:space="preserve"> of base with at least 20% void space over soil</t>
    </r>
  </si>
  <si>
    <t>Project Information</t>
  </si>
  <si>
    <t>**NCDENR Stormwater BMP Manual (2007)</t>
  </si>
  <si>
    <t>SHASTA</t>
  </si>
  <si>
    <t>85th Percentile 24-hr Rainfall (Coastal Comm.)</t>
  </si>
  <si>
    <t>BERKELEY</t>
  </si>
  <si>
    <t>MINERAL</t>
  </si>
  <si>
    <t>PASKENTA RANGER STN</t>
  </si>
  <si>
    <t>RED BLUFF AP</t>
  </si>
  <si>
    <t>COFFEE CREEK R S</t>
  </si>
  <si>
    <t>HYAMPOM</t>
  </si>
  <si>
    <t>WEAVERVILLE RS</t>
  </si>
  <si>
    <t>BADGER</t>
  </si>
  <si>
    <t>EXETER FAUVER RANCH</t>
  </si>
  <si>
    <t>GRANT GROVE</t>
  </si>
  <si>
    <t>LODGEPOLE</t>
  </si>
  <si>
    <t>MILO 5 NE</t>
  </si>
  <si>
    <t>SPRINGVILLE R S</t>
  </si>
  <si>
    <t>SPRINGVILLE TULE HD</t>
  </si>
  <si>
    <t>THREE RIVERS 6 SE</t>
  </si>
  <si>
    <t>THREE RIVERS EDISON PH</t>
  </si>
  <si>
    <t>UHL R S</t>
  </si>
  <si>
    <t>GROVELAND 2</t>
  </si>
  <si>
    <t>HETCH HETCHY</t>
  </si>
  <si>
    <t>PINECREST SUMMIT R S</t>
  </si>
  <si>
    <t>CHUCHUPATE RANGER STN</t>
  </si>
  <si>
    <t>MATILIJA DAM</t>
  </si>
  <si>
    <t>CLEARLAKE 4 SE</t>
  </si>
  <si>
    <t>MAHNKE</t>
  </si>
  <si>
    <t>BIEBER</t>
  </si>
  <si>
    <t>MILFORD LAUFMAN RS</t>
  </si>
  <si>
    <t>SUSANVILLE 1 WNW</t>
  </si>
  <si>
    <t>TERMO 1 E</t>
  </si>
  <si>
    <t>ACTON ESCONDIDO FC261</t>
  </si>
  <si>
    <t>ALISO CANYON OAT MTN FC</t>
  </si>
  <si>
    <t>BEL AIR FC-10A</t>
  </si>
  <si>
    <t>BIG PINES PARK FC83B</t>
  </si>
  <si>
    <t>BIRMINGHAM GEN HOSP</t>
  </si>
  <si>
    <t>BURBANK VALLEY PUMP PLA</t>
  </si>
  <si>
    <t>CHATSWORTH RESERVOIR</t>
  </si>
  <si>
    <t>Cultivated Agricultural: major crop residue cover</t>
  </si>
  <si>
    <t>Cultivated Agricultural: minor crop residue cover</t>
  </si>
  <si>
    <t>Pasture/Grassland/Range: &lt;50% ground cover or heavily grazed with no mulch</t>
  </si>
  <si>
    <t>Brush or chaparral covering less than 50% of the open space</t>
  </si>
  <si>
    <t>SPADRA LANTERMAN HOSP</t>
  </si>
  <si>
    <t>SAN JOAQUIN EXP RANGE</t>
  </si>
  <si>
    <t>Brush: &lt;50% ground cover</t>
  </si>
  <si>
    <t>Brush: 50% to 75% ground cover</t>
  </si>
  <si>
    <t>Brush: &gt;75% ground cover</t>
  </si>
  <si>
    <t>Wood &amp; Grass: &lt;50% ground cover</t>
  </si>
  <si>
    <t>Wood &amp; Grass: 50% to 75% ground cover</t>
  </si>
  <si>
    <t>Wood &amp; Grass: &gt;75% ground cover</t>
  </si>
  <si>
    <t>Woods: forest litter, small trees, and brush destroyed by grazing or burning</t>
  </si>
  <si>
    <t>Woods: grazed but not burned with some forest litter</t>
  </si>
  <si>
    <t>Woods: no grazing and adequate brush and litter</t>
  </si>
  <si>
    <t>No Edit</t>
  </si>
  <si>
    <t>SAN LUIS DAM</t>
  </si>
  <si>
    <t>ALTURAS</t>
  </si>
  <si>
    <t>DAY</t>
  </si>
  <si>
    <t>BRIDGEPORT RANGER STN</t>
  </si>
  <si>
    <t>SONORA JUNCTION</t>
  </si>
  <si>
    <t>ARROYO SECO</t>
  </si>
  <si>
    <t>BRYSON</t>
  </si>
  <si>
    <t>DEL MONTE</t>
  </si>
  <si>
    <t>KING CITY</t>
  </si>
  <si>
    <t>LOCKWOOD 1 N</t>
  </si>
  <si>
    <t>LUCIA WILLOW SPRINGS</t>
  </si>
  <si>
    <t>ANGWIN PAC UNION COL</t>
  </si>
  <si>
    <t>ATLAS ROAD BROWN</t>
  </si>
  <si>
    <t>SAINT HELENA 4 WSW</t>
  </si>
  <si>
    <t>BOWMAN DAM</t>
  </si>
  <si>
    <t>GRASS VALLEY NO 2</t>
  </si>
  <si>
    <t>NORTH BLOOMFIELD</t>
  </si>
  <si>
    <t>SODA SPRINGS 1 E</t>
  </si>
  <si>
    <t>TRUCKEE RS</t>
  </si>
  <si>
    <t>BREA DAM</t>
  </si>
  <si>
    <t>CARBON CANYON GILMAN</t>
  </si>
  <si>
    <t>EL MODENA</t>
  </si>
  <si>
    <t>Brush or chaparral covering more than 75% of the open space</t>
  </si>
  <si>
    <t>Cultivated Agricultural crops row, tree, or vine)</t>
  </si>
  <si>
    <t>Lawn, Grass, or Pasture covering 50 to 75% of the open space</t>
  </si>
  <si>
    <t>Lawn, Grass, or Pasture covering less than 50% of the open space</t>
  </si>
  <si>
    <t>Lawn, Grass, or Pasture covering more than 75% of the open space</t>
  </si>
  <si>
    <t>Mature forest or woodland area</t>
  </si>
  <si>
    <t xml:space="preserve">Mature forest or woodland area with solid canopy </t>
  </si>
  <si>
    <t>HOLLISTER 2</t>
  </si>
  <si>
    <t>HOLLISTER 9 ENE</t>
  </si>
  <si>
    <t>SAN JUAN BAUTISTA 3 SS</t>
  </si>
  <si>
    <t>UPPER TRES PINOS</t>
  </si>
  <si>
    <t>BAKER</t>
  </si>
  <si>
    <t>BIG BEAR LAKE DAM</t>
  </si>
  <si>
    <t>CAJON WEST SUMMIT</t>
  </si>
  <si>
    <t>CAMP ANGELUS</t>
  </si>
  <si>
    <t>CARBON CANYON WORKMAN</t>
  </si>
  <si>
    <t>CRESTLINE FIRE STN 2</t>
  </si>
  <si>
    <t>DAGGETT POWER PLANT</t>
  </si>
  <si>
    <t>ETIWANDA</t>
  </si>
  <si>
    <t>IRON MOUNTAIN</t>
  </si>
  <si>
    <t>Natural Desert Landscape</t>
  </si>
  <si>
    <t>Solid lawn, grass, pasture or meadow covering the open space</t>
  </si>
  <si>
    <t xml:space="preserve">Young forest or woodland area </t>
  </si>
  <si>
    <t>Non-Built Land Use Type Post Development</t>
  </si>
  <si>
    <t>Non-Built Land Use Type Pre Development</t>
  </si>
  <si>
    <t>Subtotal Runoff Volume Reduction</t>
    <phoneticPr fontId="0" type="noConversion"/>
  </si>
  <si>
    <t>Optional</t>
    <phoneticPr fontId="0" type="noConversion"/>
  </si>
  <si>
    <t xml:space="preserve">   </t>
    <phoneticPr fontId="0" type="noConversion"/>
  </si>
  <si>
    <t>Optional</t>
    <phoneticPr fontId="0" type="noConversion"/>
  </si>
  <si>
    <t>Optional</t>
    <phoneticPr fontId="0" type="noConversion"/>
  </si>
  <si>
    <t>OCEANSIDE PUMPING PLANT</t>
  </si>
  <si>
    <t>PALOMAR MOUNTAIN OBSERV</t>
  </si>
  <si>
    <t>Cu. Ft.</t>
    <phoneticPr fontId="0" type="noConversion"/>
  </si>
  <si>
    <t>MORGAN HILL</t>
  </si>
  <si>
    <t>SAN JOSE</t>
  </si>
  <si>
    <t>BOULDER CREEK LOCAT RAN</t>
  </si>
  <si>
    <t>CORRALITOS</t>
  </si>
  <si>
    <t>SUNSET STATE BEACH</t>
  </si>
  <si>
    <t>HARRISON GULCH R S</t>
  </si>
  <si>
    <t>REDDING 5 SSE</t>
  </si>
  <si>
    <t>SHASTA DAM</t>
  </si>
  <si>
    <t>VOLTA POWER HOUSE</t>
  </si>
  <si>
    <t>DOWNIEVILLE</t>
  </si>
  <si>
    <t>SIERRAVILLE R S</t>
  </si>
  <si>
    <t>ETNA</t>
  </si>
  <si>
    <t>HAPPY CAMP RANGER STN</t>
  </si>
  <si>
    <t>MONTAGUE 5 NE</t>
  </si>
  <si>
    <t>MOUNT SHASTA</t>
  </si>
  <si>
    <t>TULELAKE</t>
  </si>
  <si>
    <t>LAKE SOLANO</t>
  </si>
  <si>
    <t>PETALUMA FIRE STA 2</t>
  </si>
  <si>
    <t>SEBASTOPOL</t>
  </si>
  <si>
    <t>THE GEYSERS</t>
  </si>
  <si>
    <t>VENADO</t>
  </si>
  <si>
    <t>MODESTO 2</t>
  </si>
  <si>
    <r>
      <t xml:space="preserve"> </t>
    </r>
    <r>
      <rPr>
        <b/>
        <i/>
        <sz val="10"/>
        <color indexed="10"/>
        <rFont val="Arial"/>
        <family val="2"/>
      </rPr>
      <t>(Step 7)</t>
    </r>
    <r>
      <rPr>
        <b/>
        <i/>
        <sz val="10"/>
        <rFont val="Arial"/>
        <family val="2"/>
      </rPr>
      <t xml:space="preserve"> Sub-watershed Conditions</t>
    </r>
  </si>
  <si>
    <r>
      <t>(Step 9)</t>
    </r>
    <r>
      <rPr>
        <b/>
        <i/>
        <sz val="10"/>
        <rFont val="Arial"/>
        <family val="2"/>
      </rPr>
      <t xml:space="preserve"> Impervious Volume Reduction Credits</t>
    </r>
  </si>
  <si>
    <t>High infiltration.  Sand, loamy sand, or sandy loam.  Infiltration rate &gt; 0.3 inch/hr when wet.</t>
  </si>
  <si>
    <t>Moderate infiltration. Silt loam or loam. Infiltration rate 0.15 to 0.3 inch/hr when wet.</t>
  </si>
  <si>
    <t>Low infiltration.   Sandy clay loam.  Infiltration rate 0.05 to 0.15 inch/hr when wet.</t>
  </si>
  <si>
    <t>Very low infiltration.  Clay loam, silty clay loam, sandy clay, silty clay, or clay.  Infiltration rate 0 to 0.05 inch/hr when wet.</t>
  </si>
  <si>
    <t>PINE MOUNTAIN INN</t>
  </si>
  <si>
    <t>DAVIS 2 WSW EXP FARM</t>
  </si>
  <si>
    <t>CAMPTONVILLE R S</t>
  </si>
  <si>
    <t>WHEATLAND 2 NE</t>
  </si>
  <si>
    <t>LOCATION</t>
  </si>
  <si>
    <t>Open Space: grass cover &lt;50%</t>
  </si>
  <si>
    <t>Open Space: grass cover 50% to 75%</t>
  </si>
  <si>
    <t>Open Space: grass cover &gt;75%</t>
  </si>
  <si>
    <t>Natural Desert</t>
  </si>
  <si>
    <t>Cultivated Agricultural: Bare Soil</t>
  </si>
  <si>
    <t>Meadow: Continuous grass &amp; no grazing</t>
  </si>
  <si>
    <t xml:space="preserve">Description of Land Use  POSTDEVELOPMENT </t>
  </si>
  <si>
    <t>A mix of lawn, grass, pasture and tress covering 50-75% of the open space</t>
  </si>
  <si>
    <t>A mix of lawn, grass, pasture and tress covering less than 50% of the open space</t>
  </si>
  <si>
    <t>A mix of lawn, grass, pasture and tress covering more than 75% of the open space</t>
  </si>
  <si>
    <t>Brush or chaparral covering 50-75% of the open space</t>
  </si>
  <si>
    <t>Post-Construction Water Balance Calculator</t>
  </si>
  <si>
    <t>Runoff Curve Numbers</t>
  </si>
  <si>
    <t>Soil Quality</t>
  </si>
  <si>
    <t>Existing Rooftop Impervious Coverage</t>
  </si>
  <si>
    <t xml:space="preserve">Existing Non-Rooftop Impervious Coverage   </t>
  </si>
  <si>
    <t xml:space="preserve">Proposed  Rooftop Impervious Coverage </t>
  </si>
  <si>
    <t>Proposed Non-Rooftop Impervious Coverage</t>
  </si>
  <si>
    <t>Number of proposed evergreen trees to be planted (credit = number of trees x 0.005)*</t>
  </si>
  <si>
    <t>Number of proposed deciduous trees to be planted (credit = number of trees x 0.0025)*</t>
  </si>
  <si>
    <t>* credit amount based on credits from Stormwater Quality Design Manual for the Sacramento and South Placer Regions</t>
  </si>
  <si>
    <t>Square feet under an existing tree canopy that will remain on the property, with an average diameter at 4.5 ft above grade (i.e., diameter at breast height or DBH) is 12 in diameter or GREATER.</t>
  </si>
  <si>
    <t xml:space="preserve">Please fill out a downspout disconnection credit worksheet for each project subwatershed.  If you answer yes to all questions,  all rooftop area draining to each downspout will be subtracted from your proposed rooftop impervious coverage.    </t>
  </si>
  <si>
    <t>Design Storm</t>
  </si>
  <si>
    <t xml:space="preserve">Please fill out an impervious area disconnection credit worksheet for each project sub-watershed.  If you answer yes to all questions,  all non-rooftop impervious surface area will be subtracted from your proposed non-rooftop impervious coverage.   </t>
  </si>
  <si>
    <t>Green Roof Credit Worksheet</t>
  </si>
  <si>
    <t xml:space="preserve">* floodprone width is the width at twice the bankfull depth.  </t>
  </si>
  <si>
    <t>Do downspouts and any extensions extend at least six feet from a basement and two feet from a crawl space or concrete slab?</t>
  </si>
  <si>
    <t xml:space="preserve">Is the roof runoff from the design storm event fully contained in a raised bed or planter box or does it drain as sheet flow to a landscaped area large enough to contain the roof runoff from the design storm event? </t>
  </si>
  <si>
    <t>Is the area of rooftop connecting to each disconnected downspout  600 square feet or less?</t>
  </si>
  <si>
    <r>
      <t xml:space="preserve">The Stream Buffer and/or Vegetated Swale credits </t>
    </r>
    <r>
      <rPr>
        <b/>
        <sz val="12"/>
        <rFont val="Arial"/>
        <family val="2"/>
      </rPr>
      <t>will not</t>
    </r>
    <r>
      <rPr>
        <sz val="12"/>
        <rFont val="Arial"/>
        <family val="2"/>
      </rPr>
      <t xml:space="preserve"> be taken in this sub-watershed area?  </t>
    </r>
  </si>
  <si>
    <t>Is the maximum contributing impervious flow path length less than 75 feet or, if equal or greater than 75 feet, is a storage device (e.g. French drain, bioretention area, gravel trench) implemented to achieve the required disconnection length?</t>
  </si>
  <si>
    <t xml:space="preserve">Is the impervious area to any one discharge location less than 5,000 square feet?  </t>
  </si>
  <si>
    <r>
      <t xml:space="preserve">The Stream Buffer credit </t>
    </r>
    <r>
      <rPr>
        <b/>
        <sz val="12"/>
        <rFont val="Arial"/>
        <family val="2"/>
      </rPr>
      <t>will not</t>
    </r>
    <r>
      <rPr>
        <sz val="12"/>
        <rFont val="Arial"/>
        <family val="2"/>
      </rPr>
      <t xml:space="preserve"> be taken in this sub-watershed area?  </t>
    </r>
  </si>
  <si>
    <r>
      <t>Please fill out a greenroof credit worksheet for each project sub-watershed.  If you answer yes to all questions, 70% of the greenroof  area will be subtracted from your proposed rooftop impervious coverage.</t>
    </r>
    <r>
      <rPr>
        <b/>
        <sz val="12"/>
        <rFont val="新細明體"/>
        <family val="2"/>
        <charset val="136"/>
      </rPr>
      <t/>
    </r>
  </si>
  <si>
    <t>Is the roof slope less than 15% or does it have a grid to hold the substrate in place until it forms a thick vegetation mat?</t>
  </si>
  <si>
    <t>Has a professional engineer assessed the necessary load reserves and designed a roof structure to meet state and local codes?</t>
  </si>
  <si>
    <t>Is the irrigation needed for plant establishment and/or to sustain the green roof during extended dry periods, is the source from stored, recycled, reclaimed, or reused water?</t>
  </si>
  <si>
    <t xml:space="preserve">Please fill out a stream buffer credit worksheet for each project sub-watershed.  If you answer yes to all questions, you may subtract all impervious surface draining to each stream buffer that has not been addressed using the Downspout and/or Impervious Area Disconnection credits. </t>
  </si>
  <si>
    <t xml:space="preserve">** the maximum contributing length shall be 75 feet for impervious area </t>
  </si>
  <si>
    <t xml:space="preserve">Does runoff enter the floodprone width* or within 500 feet (whichever is larger) of a stream channel as sheet flow**?  </t>
  </si>
  <si>
    <t>Is the contributing overland slope 5% or less, or if greater than 5%, is a level spreader used?</t>
  </si>
  <si>
    <t>Is the buffer area protected from vehicle or other traffic barriers to reduce compaction?</t>
  </si>
  <si>
    <t>Will the stream buffer be maintained in an ungraded and uncompacted condition and will the vegetation be maintained in a natural condition?</t>
  </si>
  <si>
    <t>Please describe below how the project will ensure that the buffer areas will remain in ungraded and uncompacted condition and that the vegetation will be maintained in a natural condition.</t>
  </si>
  <si>
    <t>Please fill out a vegetated swale worksheet for each project subwatershed.  If you answer yes to all questions, you may subtract all impervious surface draining to each stream buffer that has not been addressed using the Downspout Disconnection credit.</t>
  </si>
  <si>
    <t>Have all vegetated swales been designed in accordance with Treatment Control BMP 30 (TC-30 - Vegetated Swale) from the California Stormwater BMP Handbook, New Development and Redevelopment (available at www.cabmphandbooks.com)?</t>
  </si>
  <si>
    <t xml:space="preserve">Is the maximum flow velocity for runoff from the design storm event less than or equal to 1.0 foot per second?  </t>
  </si>
  <si>
    <t>Existing Runoff Curve Number</t>
  </si>
  <si>
    <t>Proposed Development Runoff Curve Number</t>
  </si>
  <si>
    <t>Subtotal Runoff Volume Reduction Credit</t>
  </si>
  <si>
    <t>Proposed</t>
  </si>
  <si>
    <t>Totals:</t>
  </si>
  <si>
    <r>
      <t xml:space="preserve">What is the total area of the </t>
    </r>
    <r>
      <rPr>
        <u/>
        <sz val="8"/>
        <rFont val="Arial"/>
        <family val="2"/>
      </rPr>
      <t>landscaped areas</t>
    </r>
    <r>
      <rPr>
        <sz val="8"/>
        <rFont val="Arial"/>
        <family val="2"/>
      </rPr>
      <t xml:space="preserve"> meeting the above criteria (in acres)?</t>
    </r>
  </si>
  <si>
    <r>
      <t xml:space="preserve">What is the average depth of your </t>
    </r>
    <r>
      <rPr>
        <u/>
        <sz val="8"/>
        <rFont val="Arial"/>
        <family val="2"/>
      </rPr>
      <t>landscaped</t>
    </r>
    <r>
      <rPr>
        <sz val="8"/>
        <rFont val="Arial"/>
        <family val="2"/>
      </rPr>
      <t xml:space="preserve"> soil media meeting the above criteria (inches)?</t>
    </r>
  </si>
  <si>
    <t>Bulk Density</t>
  </si>
  <si>
    <t>Vol Land</t>
  </si>
  <si>
    <t>Credit (cu ft)</t>
  </si>
  <si>
    <t>Proposed Storm Event Threshold</t>
  </si>
  <si>
    <t>&lt;- Storm Event that will produce Runoff (Proposed)</t>
  </si>
  <si>
    <t>&lt;- Comparison between… 0 indicates a value above the Current value</t>
  </si>
  <si>
    <t>&lt;- Storm Event that will produce Runoff/ 85th %ile (Current)</t>
  </si>
  <si>
    <r>
      <t xml:space="preserve">Area of </t>
    </r>
    <r>
      <rPr>
        <b/>
        <sz val="12"/>
        <rFont val="Arial"/>
        <family val="2"/>
      </rPr>
      <t>Cobbles</t>
    </r>
    <r>
      <rPr>
        <sz val="12"/>
        <rFont val="Arial"/>
        <family val="2"/>
      </rPr>
      <t xml:space="preserve"> </t>
    </r>
    <r>
      <rPr>
        <u/>
        <sz val="12"/>
        <rFont val="Arial"/>
        <family val="2"/>
      </rPr>
      <t xml:space="preserve">more than 12 inches </t>
    </r>
    <r>
      <rPr>
        <sz val="12"/>
        <rFont val="Arial"/>
        <family val="2"/>
      </rPr>
      <t>deep and over soil</t>
    </r>
  </si>
  <si>
    <t>Welcome to the State Water Board’s Post-Construction Stormwater Calculator.</t>
  </si>
  <si>
    <r>
      <rPr>
        <b/>
        <sz val="10"/>
        <rFont val="Arial"/>
        <family val="2"/>
      </rPr>
      <t xml:space="preserve">IMPORTANT: </t>
    </r>
    <r>
      <rPr>
        <sz val="10"/>
        <rFont val="Arial"/>
        <family val="2"/>
      </rPr>
      <t xml:space="preserve"> THIS CALCULATOR CAN ONLY BE USED FOR PROJECTS THAT CREATE AND/OR REPLACE BETWEEN 2,500 SQUARE FEET AND 5,000 SQUARE FEET OF IMPERVIOUS SURFACE (OR DETATCHED SINGLE FAMILY HOMES THAT CREATE AND/OR REPLACE OVER 2,500 SQUARE FEET OF IMPERVIOUS SURFACE)</t>
    </r>
  </si>
  <si>
    <t>This calculator has been developed in response to the fact that the Post-construction Calculator developed in SMARTS and referenced in the Small MS4 Permit (Order No. 2013-0001-DWQ [CAS000004]) is only available to projects that file an NOI under the General Construction Storm Water Permit (CGP).  Therefore, we have developed this spreadsheet calculator for those projects that will not be required to enroll under SMARTS or are otherwise not required to access the SMARTS calculator, but will nonetheless be required to quantify runoff reductions resulting from implementation of Site Design Measures as specified in Section E.12.b.(ii) and F.5.g.1.(ii).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</si>
</sst>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43" formatCode="_(* #,##0.00_);_(* \(#,##0.00\);_(* &quot;-&quot;??_);_(@_)"/>
    <numFmt numFmtId="164" formatCode="[$-409]mmmm\ d\,\ yyyy;@"/>
    <numFmt numFmtId="165" formatCode="0.0"/>
    <numFmt numFmtId="166" formatCode="0.000"/>
    <numFmt numFmtId="169" formatCode="0.000000"/>
    <numFmt numFmtId="170" formatCode="0.0000000"/>
    <numFmt numFmtId="172" formatCode="0.000000000"/>
    <numFmt numFmtId="175" formatCode="0.000000000000"/>
  </numFmts>
  <fonts count="54">
    <font>
      <sz val="10"/>
      <name val="Arial"/>
    </font>
    <font>
      <sz val="10"/>
      <name val="Arial"/>
      <family val="2"/>
    </font>
    <font>
      <u/>
      <sz val="10"/>
      <color indexed="12"/>
      <name val="Arial"/>
      <family val="2"/>
    </font>
    <font>
      <sz val="12"/>
      <name val="Arial"/>
      <family val="2"/>
    </font>
    <font>
      <b/>
      <sz val="12"/>
      <name val="Arial"/>
      <family val="2"/>
    </font>
    <font>
      <i/>
      <sz val="12"/>
      <name val="Arial"/>
      <family val="2"/>
    </font>
    <font>
      <b/>
      <u/>
      <sz val="12"/>
      <color indexed="12"/>
      <name val="Arial"/>
      <family val="2"/>
    </font>
    <font>
      <sz val="10"/>
      <name val="Arial"/>
      <family val="2"/>
    </font>
    <font>
      <vertAlign val="superscript"/>
      <sz val="12"/>
      <name val="Arial"/>
      <family val="2"/>
    </font>
    <font>
      <vertAlign val="superscript"/>
      <sz val="10"/>
      <name val="Arial"/>
      <family val="2"/>
    </font>
    <font>
      <sz val="10"/>
      <name val="Arial"/>
      <family val="2"/>
    </font>
    <font>
      <sz val="10"/>
      <name val="Geneva"/>
    </font>
    <font>
      <b/>
      <sz val="12"/>
      <name val="新細明體"/>
      <family val="2"/>
      <charset val="136"/>
    </font>
    <font>
      <sz val="16"/>
      <name val="Arial"/>
      <family val="2"/>
    </font>
    <font>
      <sz val="14"/>
      <name val="Arial"/>
      <family val="2"/>
    </font>
    <font>
      <sz val="18"/>
      <name val="Arial"/>
      <family val="2"/>
    </font>
    <font>
      <u/>
      <sz val="12"/>
      <name val="Arial"/>
      <family val="2"/>
    </font>
    <font>
      <b/>
      <sz val="12"/>
      <color indexed="9"/>
      <name val="Arial"/>
      <family val="2"/>
    </font>
    <font>
      <sz val="12"/>
      <color indexed="9"/>
      <name val="Arial"/>
      <family val="2"/>
    </font>
    <font>
      <sz val="10"/>
      <color indexed="9"/>
      <name val="Arial"/>
      <family val="2"/>
    </font>
    <font>
      <u/>
      <sz val="10"/>
      <name val="Arial"/>
      <family val="2"/>
    </font>
    <font>
      <sz val="10"/>
      <name val="Arial"/>
      <family val="2"/>
    </font>
    <font>
      <b/>
      <u/>
      <sz val="12"/>
      <name val="Arial"/>
      <family val="2"/>
    </font>
    <font>
      <u/>
      <sz val="10"/>
      <color indexed="9"/>
      <name val="Arial"/>
      <family val="2"/>
    </font>
    <font>
      <sz val="8"/>
      <name val="Arial"/>
      <family val="2"/>
    </font>
    <font>
      <i/>
      <sz val="8"/>
      <name val="Arial"/>
      <family val="2"/>
    </font>
    <font>
      <b/>
      <sz val="8"/>
      <name val="Arial"/>
      <family val="2"/>
    </font>
    <font>
      <u/>
      <sz val="8"/>
      <color indexed="12"/>
      <name val="Arial"/>
      <family val="2"/>
    </font>
    <font>
      <sz val="12"/>
      <color indexed="9"/>
      <name val="Arial"/>
      <family val="2"/>
    </font>
    <font>
      <b/>
      <u/>
      <sz val="8"/>
      <color indexed="12"/>
      <name val="Arial"/>
      <family val="2"/>
    </font>
    <font>
      <vertAlign val="superscript"/>
      <sz val="8"/>
      <name val="Arial"/>
      <family val="2"/>
    </font>
    <font>
      <b/>
      <u/>
      <sz val="8"/>
      <name val="Arial"/>
      <family val="2"/>
    </font>
    <font>
      <sz val="8"/>
      <color indexed="9"/>
      <name val="Arial"/>
      <family val="2"/>
    </font>
    <font>
      <sz val="10"/>
      <name val="Arial"/>
      <family val="2"/>
    </font>
    <font>
      <sz val="72"/>
      <name val="Arial"/>
      <family val="2"/>
    </font>
    <font>
      <sz val="10"/>
      <name val="Verdana"/>
      <family val="2"/>
    </font>
    <font>
      <b/>
      <sz val="18"/>
      <name val="Arial"/>
      <family val="2"/>
    </font>
    <font>
      <b/>
      <i/>
      <sz val="12"/>
      <name val="Arial"/>
      <family val="2"/>
    </font>
    <font>
      <b/>
      <sz val="10"/>
      <name val="Arial"/>
      <family val="2"/>
    </font>
    <font>
      <b/>
      <i/>
      <sz val="10"/>
      <name val="Arial"/>
      <family val="2"/>
    </font>
    <font>
      <b/>
      <i/>
      <sz val="10"/>
      <color indexed="10"/>
      <name val="Arial"/>
      <family val="2"/>
    </font>
    <font>
      <b/>
      <sz val="18"/>
      <color indexed="62"/>
      <name val="Arial"/>
      <family val="2"/>
    </font>
    <font>
      <sz val="36"/>
      <color indexed="10"/>
      <name val="Arial"/>
      <family val="2"/>
    </font>
    <font>
      <sz val="8"/>
      <name val="Verdana"/>
      <family val="2"/>
    </font>
    <font>
      <b/>
      <sz val="14"/>
      <name val="Arial"/>
      <family val="2"/>
    </font>
    <font>
      <b/>
      <i/>
      <sz val="12"/>
      <color indexed="10"/>
      <name val="Arial"/>
      <family val="2"/>
    </font>
    <font>
      <sz val="12"/>
      <color indexed="10"/>
      <name val="Arial"/>
      <family val="2"/>
    </font>
    <font>
      <sz val="12"/>
      <color indexed="14"/>
      <name val="Arial"/>
      <family val="2"/>
    </font>
    <font>
      <i/>
      <sz val="12"/>
      <color indexed="10"/>
      <name val="Arial"/>
      <family val="2"/>
    </font>
    <font>
      <sz val="8"/>
      <name val="Arial"/>
      <family val="2"/>
    </font>
    <font>
      <u/>
      <sz val="12"/>
      <color indexed="12"/>
      <name val="Arial"/>
      <family val="2"/>
    </font>
    <font>
      <vertAlign val="subscript"/>
      <sz val="12"/>
      <name val="Arial"/>
      <family val="2"/>
    </font>
    <font>
      <sz val="10"/>
      <name val="Arial"/>
      <family val="2"/>
    </font>
    <font>
      <u/>
      <sz val="8"/>
      <name val="Arial"/>
      <family val="2"/>
    </font>
  </fonts>
  <fills count="14">
    <fill>
      <patternFill patternType="none"/>
    </fill>
    <fill>
      <patternFill patternType="gray125"/>
    </fill>
    <fill>
      <patternFill patternType="solid">
        <fgColor indexed="8"/>
        <bgColor indexed="64"/>
      </patternFill>
    </fill>
    <fill>
      <patternFill patternType="solid">
        <fgColor indexed="51"/>
        <bgColor indexed="64"/>
      </patternFill>
    </fill>
    <fill>
      <patternFill patternType="solid">
        <fgColor indexed="55"/>
        <bgColor indexed="64"/>
      </patternFill>
    </fill>
    <fill>
      <patternFill patternType="solid">
        <fgColor indexed="23"/>
        <bgColor indexed="64"/>
      </patternFill>
    </fill>
    <fill>
      <patternFill patternType="solid">
        <fgColor indexed="43"/>
        <bgColor indexed="64"/>
      </patternFill>
    </fill>
    <fill>
      <patternFill patternType="solid">
        <fgColor indexed="42"/>
        <bgColor indexed="64"/>
      </patternFill>
    </fill>
    <fill>
      <patternFill patternType="solid">
        <fgColor indexed="27"/>
        <bgColor indexed="64"/>
      </patternFill>
    </fill>
    <fill>
      <patternFill patternType="solid">
        <fgColor indexed="26"/>
        <bgColor indexed="64"/>
      </patternFill>
    </fill>
    <fill>
      <patternFill patternType="solid">
        <fgColor indexed="9"/>
        <bgColor indexed="64"/>
      </patternFill>
    </fill>
    <fill>
      <patternFill patternType="solid">
        <fgColor indexed="27"/>
        <bgColor indexed="8"/>
      </patternFill>
    </fill>
    <fill>
      <patternFill patternType="solid">
        <fgColor indexed="22"/>
        <bgColor indexed="64"/>
      </patternFill>
    </fill>
    <fill>
      <patternFill patternType="solid">
        <fgColor indexed="41"/>
        <bgColor indexed="64"/>
      </patternFill>
    </fill>
  </fills>
  <borders count="61">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bottom/>
      <diagonal/>
    </border>
    <border>
      <left style="thin">
        <color indexed="64"/>
      </left>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diagonal/>
    </border>
    <border>
      <left/>
      <right/>
      <top style="double">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top/>
      <bottom style="thin">
        <color indexed="64"/>
      </bottom>
      <diagonal/>
    </border>
    <border>
      <left/>
      <right/>
      <top style="double">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top style="thin">
        <color indexed="64"/>
      </top>
      <bottom style="double">
        <color indexed="64"/>
      </bottom>
      <diagonal/>
    </border>
    <border>
      <left style="thin">
        <color indexed="64"/>
      </left>
      <right/>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style="thin">
        <color indexed="64"/>
      </left>
      <right/>
      <top style="double">
        <color indexed="64"/>
      </top>
      <bottom/>
      <diagonal/>
    </border>
    <border>
      <left/>
      <right style="thin">
        <color indexed="64"/>
      </right>
      <top style="double">
        <color indexed="64"/>
      </top>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s>
  <cellStyleXfs count="5">
    <xf numFmtId="0" fontId="0" fillId="0" borderId="0"/>
    <xf numFmtId="43" fontId="1" fillId="0" borderId="0" applyFont="0" applyFill="0" applyBorder="0" applyAlignment="0" applyProtection="0"/>
    <xf numFmtId="0" fontId="2" fillId="0" borderId="0" applyNumberFormat="0" applyFill="0" applyBorder="0" applyAlignment="0" applyProtection="0">
      <alignment vertical="top"/>
      <protection locked="0"/>
    </xf>
    <xf numFmtId="0" fontId="35" fillId="0" borderId="0"/>
    <xf numFmtId="9" fontId="1" fillId="0" borderId="0" applyFont="0" applyFill="0" applyBorder="0" applyAlignment="0" applyProtection="0"/>
  </cellStyleXfs>
  <cellXfs count="534">
    <xf numFmtId="0" fontId="0" fillId="0" borderId="0" xfId="0"/>
    <xf numFmtId="0" fontId="3" fillId="0" borderId="0" xfId="0" applyFont="1"/>
    <xf numFmtId="0" fontId="4" fillId="0" borderId="0" xfId="0" applyFont="1"/>
    <xf numFmtId="0" fontId="5" fillId="0" borderId="0" xfId="0" applyFont="1"/>
    <xf numFmtId="0" fontId="6" fillId="0" borderId="0" xfId="2" applyFont="1" applyAlignment="1" applyProtection="1">
      <alignment horizontal="center"/>
    </xf>
    <xf numFmtId="0" fontId="3" fillId="0" borderId="0" xfId="0" applyFont="1" applyBorder="1" applyAlignment="1">
      <alignment horizontal="left" wrapText="1"/>
    </xf>
    <xf numFmtId="0" fontId="3" fillId="0" borderId="0" xfId="0" applyFont="1" applyProtection="1"/>
    <xf numFmtId="0" fontId="3" fillId="0" borderId="1" xfId="0" applyFont="1" applyBorder="1" applyAlignment="1" applyProtection="1">
      <alignment horizontal="center" vertical="center"/>
      <protection locked="0"/>
    </xf>
    <xf numFmtId="0" fontId="3" fillId="0" borderId="2" xfId="0" applyFont="1" applyBorder="1" applyAlignment="1" applyProtection="1">
      <alignment horizontal="center"/>
    </xf>
    <xf numFmtId="0" fontId="4" fillId="0" borderId="0" xfId="0" applyFont="1" applyAlignment="1"/>
    <xf numFmtId="0" fontId="3" fillId="0" borderId="0" xfId="0" applyFont="1" applyAlignment="1"/>
    <xf numFmtId="0" fontId="5" fillId="0" borderId="0" xfId="0" applyFont="1" applyAlignment="1"/>
    <xf numFmtId="0" fontId="3" fillId="0" borderId="0" xfId="0" applyFont="1" applyAlignment="1" applyProtection="1">
      <alignment wrapText="1"/>
    </xf>
    <xf numFmtId="0" fontId="4" fillId="0" borderId="0" xfId="0" applyFont="1" applyProtection="1"/>
    <xf numFmtId="0" fontId="0" fillId="0" borderId="0" xfId="0" applyProtection="1"/>
    <xf numFmtId="0" fontId="5" fillId="0" borderId="0" xfId="0" applyFont="1" applyProtection="1"/>
    <xf numFmtId="0" fontId="3" fillId="0" borderId="0" xfId="0" applyFont="1" applyBorder="1" applyAlignment="1" applyProtection="1">
      <alignment horizontal="center"/>
    </xf>
    <xf numFmtId="0" fontId="0" fillId="0" borderId="0" xfId="0" applyAlignment="1"/>
    <xf numFmtId="0" fontId="3" fillId="2" borderId="0" xfId="0" applyFont="1" applyFill="1" applyProtection="1"/>
    <xf numFmtId="2" fontId="3" fillId="0" borderId="2" xfId="0" applyNumberFormat="1" applyFont="1" applyBorder="1" applyAlignment="1" applyProtection="1">
      <alignment horizontal="center"/>
    </xf>
    <xf numFmtId="0" fontId="3" fillId="0" borderId="0" xfId="0" applyFont="1" applyAlignment="1" applyProtection="1">
      <protection locked="0"/>
    </xf>
    <xf numFmtId="0" fontId="3" fillId="0" borderId="0" xfId="0" applyFont="1" applyBorder="1" applyAlignment="1" applyProtection="1">
      <protection locked="0"/>
    </xf>
    <xf numFmtId="0" fontId="3" fillId="2" borderId="3" xfId="0" applyFont="1" applyFill="1" applyBorder="1" applyProtection="1"/>
    <xf numFmtId="0" fontId="3" fillId="2" borderId="4" xfId="0" applyFont="1" applyFill="1" applyBorder="1" applyAlignment="1" applyProtection="1">
      <alignment wrapText="1"/>
    </xf>
    <xf numFmtId="0" fontId="3" fillId="2" borderId="5" xfId="0" applyFont="1" applyFill="1" applyBorder="1" applyProtection="1"/>
    <xf numFmtId="0" fontId="3" fillId="2" borderId="6" xfId="0" applyFont="1" applyFill="1" applyBorder="1" applyProtection="1"/>
    <xf numFmtId="0" fontId="3" fillId="2" borderId="7" xfId="0" applyFont="1" applyFill="1" applyBorder="1" applyProtection="1"/>
    <xf numFmtId="0" fontId="3" fillId="0" borderId="0" xfId="0" applyNumberFormat="1" applyFont="1"/>
    <xf numFmtId="0" fontId="13" fillId="0" borderId="0" xfId="0" applyFont="1" applyAlignment="1" applyProtection="1">
      <alignment horizontal="center" vertical="center"/>
      <protection locked="0"/>
    </xf>
    <xf numFmtId="0" fontId="3" fillId="0" borderId="2" xfId="0" applyFont="1" applyBorder="1" applyAlignment="1" applyProtection="1">
      <alignment horizontal="center" vertical="center"/>
      <protection locked="0"/>
    </xf>
    <xf numFmtId="0" fontId="3" fillId="0" borderId="2" xfId="0" applyNumberFormat="1" applyFont="1" applyBorder="1"/>
    <xf numFmtId="0" fontId="3" fillId="0" borderId="2" xfId="0" applyNumberFormat="1" applyFont="1" applyBorder="1" applyProtection="1">
      <protection locked="0"/>
    </xf>
    <xf numFmtId="0" fontId="17" fillId="0" borderId="0" xfId="0" applyFont="1" applyProtection="1"/>
    <xf numFmtId="0" fontId="18" fillId="0" borderId="0" xfId="0" applyFont="1" applyProtection="1"/>
    <xf numFmtId="0" fontId="18" fillId="0" borderId="0" xfId="0" applyFont="1" applyProtection="1">
      <protection hidden="1"/>
    </xf>
    <xf numFmtId="0" fontId="19" fillId="0" borderId="0" xfId="0" applyFont="1" applyAlignment="1" applyProtection="1">
      <protection hidden="1"/>
    </xf>
    <xf numFmtId="0" fontId="18" fillId="0" borderId="2" xfId="0" applyFont="1" applyBorder="1" applyAlignment="1" applyProtection="1">
      <alignment horizontal="center"/>
      <protection hidden="1"/>
    </xf>
    <xf numFmtId="0" fontId="18" fillId="0" borderId="2" xfId="0" applyFont="1" applyBorder="1" applyAlignment="1" applyProtection="1">
      <alignment horizontal="center" vertical="center"/>
      <protection hidden="1"/>
    </xf>
    <xf numFmtId="9" fontId="18" fillId="0" borderId="2" xfId="0" applyNumberFormat="1" applyFont="1" applyBorder="1" applyAlignment="1" applyProtection="1">
      <alignment horizontal="center" vertical="center"/>
      <protection hidden="1"/>
    </xf>
    <xf numFmtId="0" fontId="18" fillId="0" borderId="0" xfId="0" applyFont="1" applyBorder="1" applyAlignment="1" applyProtection="1">
      <alignment horizontal="center"/>
      <protection hidden="1"/>
    </xf>
    <xf numFmtId="0" fontId="23" fillId="0" borderId="0" xfId="2" applyFont="1" applyAlignment="1" applyProtection="1">
      <protection hidden="1"/>
    </xf>
    <xf numFmtId="0" fontId="7" fillId="0" borderId="0" xfId="0" applyNumberFormat="1" applyFont="1" applyAlignment="1"/>
    <xf numFmtId="0" fontId="13" fillId="0" borderId="0" xfId="0" applyFont="1" applyAlignment="1" applyProtection="1">
      <alignment horizontal="center" vertical="center"/>
    </xf>
    <xf numFmtId="0" fontId="4" fillId="0" borderId="0" xfId="0" applyFont="1" applyProtection="1">
      <protection hidden="1"/>
    </xf>
    <xf numFmtId="0" fontId="3" fillId="0" borderId="0" xfId="0" applyFont="1" applyProtection="1">
      <protection hidden="1"/>
    </xf>
    <xf numFmtId="0" fontId="3" fillId="0" borderId="0" xfId="0" applyFont="1" applyAlignment="1" applyProtection="1">
      <alignment horizontal="center" wrapText="1"/>
      <protection hidden="1"/>
    </xf>
    <xf numFmtId="0" fontId="5" fillId="0" borderId="0" xfId="0" applyFont="1" applyProtection="1">
      <protection hidden="1"/>
    </xf>
    <xf numFmtId="0" fontId="3" fillId="0" borderId="5" xfId="0" applyFont="1" applyBorder="1" applyProtection="1">
      <protection hidden="1"/>
    </xf>
    <xf numFmtId="0" fontId="3" fillId="0" borderId="6" xfId="0" applyFont="1" applyBorder="1" applyProtection="1">
      <protection hidden="1"/>
    </xf>
    <xf numFmtId="0" fontId="4" fillId="0" borderId="8" xfId="0" applyFont="1" applyBorder="1" applyAlignment="1" applyProtection="1">
      <alignment horizontal="center"/>
      <protection hidden="1"/>
    </xf>
    <xf numFmtId="0" fontId="3" fillId="0" borderId="0" xfId="0" applyFont="1" applyBorder="1" applyAlignment="1" applyProtection="1">
      <alignment horizontal="center"/>
      <protection hidden="1"/>
    </xf>
    <xf numFmtId="0" fontId="3" fillId="0" borderId="2" xfId="0" applyFont="1" applyBorder="1" applyAlignment="1" applyProtection="1">
      <alignment horizontal="center" wrapText="1"/>
      <protection hidden="1"/>
    </xf>
    <xf numFmtId="0" fontId="3" fillId="0" borderId="2" xfId="0" applyFont="1" applyBorder="1" applyAlignment="1" applyProtection="1">
      <alignment wrapText="1"/>
      <protection hidden="1"/>
    </xf>
    <xf numFmtId="0" fontId="3" fillId="0" borderId="2" xfId="0" applyFont="1" applyBorder="1" applyAlignment="1" applyProtection="1">
      <protection hidden="1"/>
    </xf>
    <xf numFmtId="2" fontId="3" fillId="0" borderId="2" xfId="0" applyNumberFormat="1" applyFont="1" applyBorder="1" applyAlignment="1" applyProtection="1">
      <protection hidden="1"/>
    </xf>
    <xf numFmtId="0" fontId="7" fillId="3" borderId="2" xfId="0" applyFont="1" applyFill="1" applyBorder="1" applyAlignment="1" applyProtection="1">
      <alignment horizontal="left"/>
      <protection hidden="1"/>
    </xf>
    <xf numFmtId="0" fontId="3" fillId="0" borderId="2" xfId="0" applyFont="1" applyBorder="1" applyProtection="1">
      <protection hidden="1"/>
    </xf>
    <xf numFmtId="0" fontId="3" fillId="0" borderId="2" xfId="0" applyFont="1" applyBorder="1" applyAlignment="1" applyProtection="1">
      <alignment vertical="center" wrapText="1"/>
      <protection hidden="1"/>
    </xf>
    <xf numFmtId="0" fontId="3" fillId="0" borderId="2" xfId="0" applyFont="1" applyFill="1" applyBorder="1" applyAlignment="1" applyProtection="1">
      <alignment vertical="center" wrapText="1"/>
      <protection hidden="1"/>
    </xf>
    <xf numFmtId="0" fontId="3" fillId="0" borderId="2" xfId="0" applyFont="1" applyFill="1" applyBorder="1" applyAlignment="1" applyProtection="1">
      <protection hidden="1"/>
    </xf>
    <xf numFmtId="2" fontId="3" fillId="0" borderId="2" xfId="0" applyNumberFormat="1" applyFont="1" applyFill="1" applyBorder="1" applyAlignment="1" applyProtection="1">
      <protection hidden="1"/>
    </xf>
    <xf numFmtId="0" fontId="3" fillId="0" borderId="0" xfId="0" applyFont="1" applyBorder="1" applyAlignment="1" applyProtection="1">
      <alignment horizontal="left" wrapText="1"/>
      <protection hidden="1"/>
    </xf>
    <xf numFmtId="0" fontId="7" fillId="0" borderId="0" xfId="0" applyFont="1" applyProtection="1">
      <protection hidden="1"/>
    </xf>
    <xf numFmtId="0" fontId="21" fillId="0" borderId="0" xfId="0" applyFont="1" applyProtection="1">
      <protection hidden="1"/>
    </xf>
    <xf numFmtId="0" fontId="4" fillId="0" borderId="0" xfId="0" applyFont="1" applyBorder="1" applyAlignment="1" applyProtection="1">
      <alignment horizontal="center" wrapText="1"/>
      <protection hidden="1"/>
    </xf>
    <xf numFmtId="0" fontId="3" fillId="0" borderId="0" xfId="0" applyFont="1" applyBorder="1" applyAlignment="1" applyProtection="1">
      <alignment horizontal="center" wrapText="1"/>
      <protection hidden="1"/>
    </xf>
    <xf numFmtId="0" fontId="3" fillId="0" borderId="9" xfId="0" applyFont="1" applyBorder="1" applyAlignment="1" applyProtection="1">
      <alignment horizontal="center" wrapText="1"/>
      <protection hidden="1"/>
    </xf>
    <xf numFmtId="0" fontId="3" fillId="0" borderId="0" xfId="0" applyFont="1" applyBorder="1" applyAlignment="1" applyProtection="1">
      <alignment horizontal="left" vertical="top" wrapText="1"/>
      <protection hidden="1"/>
    </xf>
    <xf numFmtId="0" fontId="22" fillId="0" borderId="0" xfId="2" applyFont="1" applyAlignment="1" applyProtection="1">
      <alignment horizontal="center"/>
      <protection hidden="1"/>
    </xf>
    <xf numFmtId="0" fontId="4" fillId="0" borderId="10" xfId="0" applyFont="1" applyBorder="1" applyAlignment="1" applyProtection="1">
      <alignment horizontal="center" wrapText="1"/>
      <protection hidden="1"/>
    </xf>
    <xf numFmtId="0" fontId="3" fillId="0" borderId="11" xfId="0" applyFont="1" applyBorder="1" applyAlignment="1" applyProtection="1">
      <alignment horizontal="center" wrapText="1"/>
      <protection hidden="1"/>
    </xf>
    <xf numFmtId="0" fontId="3" fillId="0" borderId="12" xfId="0" applyFont="1" applyBorder="1" applyAlignment="1" applyProtection="1">
      <alignment horizontal="left" wrapText="1"/>
      <protection hidden="1"/>
    </xf>
    <xf numFmtId="0" fontId="3" fillId="0" borderId="13" xfId="0" applyFont="1" applyBorder="1" applyAlignment="1" applyProtection="1">
      <alignment horizontal="left" wrapText="1"/>
      <protection hidden="1"/>
    </xf>
    <xf numFmtId="0" fontId="20" fillId="0" borderId="14" xfId="2" applyFont="1" applyBorder="1" applyAlignment="1" applyProtection="1">
      <alignment horizontal="center"/>
      <protection hidden="1"/>
    </xf>
    <xf numFmtId="0" fontId="21" fillId="0" borderId="15" xfId="0" applyFont="1" applyBorder="1" applyProtection="1">
      <protection hidden="1"/>
    </xf>
    <xf numFmtId="0" fontId="21" fillId="0" borderId="16" xfId="0" applyFont="1" applyBorder="1" applyProtection="1">
      <protection hidden="1"/>
    </xf>
    <xf numFmtId="0" fontId="9" fillId="0" borderId="0" xfId="0" applyFont="1" applyProtection="1">
      <protection hidden="1"/>
    </xf>
    <xf numFmtId="0" fontId="10" fillId="0" borderId="0" xfId="0" applyFont="1" applyProtection="1">
      <protection hidden="1"/>
    </xf>
    <xf numFmtId="0" fontId="5" fillId="0" borderId="0" xfId="0" applyFont="1" applyAlignment="1" applyProtection="1">
      <alignment wrapText="1"/>
      <protection hidden="1"/>
    </xf>
    <xf numFmtId="0" fontId="3" fillId="0" borderId="4" xfId="0" applyFont="1" applyBorder="1" applyAlignment="1" applyProtection="1">
      <alignment horizontal="center"/>
      <protection hidden="1"/>
    </xf>
    <xf numFmtId="0" fontId="3" fillId="0" borderId="17" xfId="0" applyFont="1" applyBorder="1" applyAlignment="1" applyProtection="1">
      <alignment horizontal="right" wrapText="1"/>
      <protection hidden="1"/>
    </xf>
    <xf numFmtId="0" fontId="13" fillId="0" borderId="0" xfId="0" applyFont="1" applyAlignment="1" applyProtection="1">
      <alignment horizontal="center" vertical="center"/>
      <protection hidden="1"/>
    </xf>
    <xf numFmtId="0" fontId="3" fillId="0" borderId="18" xfId="0" applyFont="1" applyBorder="1" applyAlignment="1" applyProtection="1">
      <alignment horizontal="center"/>
    </xf>
    <xf numFmtId="0" fontId="3" fillId="2" borderId="2" xfId="0" applyFont="1" applyFill="1" applyBorder="1" applyProtection="1"/>
    <xf numFmtId="0" fontId="3" fillId="0" borderId="0" xfId="0" applyFont="1" applyBorder="1" applyAlignment="1" applyProtection="1">
      <alignment horizontal="center" vertical="center"/>
    </xf>
    <xf numFmtId="0" fontId="3" fillId="0" borderId="1" xfId="0" applyFont="1" applyBorder="1" applyAlignment="1" applyProtection="1">
      <alignment horizontal="center" vertical="center"/>
    </xf>
    <xf numFmtId="0" fontId="28" fillId="0" borderId="0" xfId="0" applyFont="1" applyProtection="1">
      <protection hidden="1"/>
    </xf>
    <xf numFmtId="0" fontId="28" fillId="0" borderId="0" xfId="0" applyFont="1" applyAlignment="1" applyProtection="1">
      <protection hidden="1"/>
    </xf>
    <xf numFmtId="0" fontId="13" fillId="0" borderId="19" xfId="0" applyFont="1" applyBorder="1" applyProtection="1">
      <protection locked="0"/>
    </xf>
    <xf numFmtId="0" fontId="13" fillId="0" borderId="0" xfId="0" applyFont="1" applyProtection="1">
      <protection locked="0"/>
    </xf>
    <xf numFmtId="0" fontId="13" fillId="0" borderId="0" xfId="0" applyFont="1"/>
    <xf numFmtId="0" fontId="13" fillId="0" borderId="0" xfId="0" applyFont="1" applyBorder="1" applyProtection="1">
      <protection locked="0"/>
    </xf>
    <xf numFmtId="0" fontId="13" fillId="0" borderId="9" xfId="0" applyFont="1" applyBorder="1" applyProtection="1">
      <protection locked="0"/>
    </xf>
    <xf numFmtId="0" fontId="13" fillId="0" borderId="14" xfId="0" applyFont="1" applyBorder="1" applyProtection="1">
      <protection locked="0"/>
    </xf>
    <xf numFmtId="0" fontId="13" fillId="0" borderId="15" xfId="0" applyFont="1" applyBorder="1" applyProtection="1">
      <protection locked="0"/>
    </xf>
    <xf numFmtId="0" fontId="13" fillId="0" borderId="16" xfId="0" applyFont="1" applyBorder="1" applyProtection="1">
      <protection locked="0"/>
    </xf>
    <xf numFmtId="0" fontId="14" fillId="0" borderId="14" xfId="0" applyFont="1" applyBorder="1" applyProtection="1">
      <protection locked="0"/>
    </xf>
    <xf numFmtId="0" fontId="14" fillId="0" borderId="15" xfId="0" applyFont="1" applyBorder="1" applyProtection="1">
      <protection locked="0"/>
    </xf>
    <xf numFmtId="0" fontId="14" fillId="0" borderId="16" xfId="0" applyFont="1" applyBorder="1" applyProtection="1">
      <protection locked="0"/>
    </xf>
    <xf numFmtId="0" fontId="15" fillId="0" borderId="20" xfId="0" applyFont="1" applyBorder="1" applyProtection="1">
      <protection locked="0"/>
    </xf>
    <xf numFmtId="2" fontId="15" fillId="0" borderId="21" xfId="0" applyNumberFormat="1" applyFont="1" applyBorder="1" applyProtection="1">
      <protection locked="0"/>
    </xf>
    <xf numFmtId="0" fontId="15" fillId="0" borderId="22" xfId="0" applyFont="1" applyBorder="1" applyProtection="1">
      <protection locked="0"/>
    </xf>
    <xf numFmtId="0" fontId="15" fillId="0" borderId="19" xfId="0" applyFont="1" applyBorder="1" applyProtection="1">
      <protection locked="0"/>
    </xf>
    <xf numFmtId="2" fontId="15" fillId="0" borderId="0" xfId="0" applyNumberFormat="1" applyFont="1" applyBorder="1" applyProtection="1">
      <protection locked="0"/>
    </xf>
    <xf numFmtId="0" fontId="15" fillId="0" borderId="9" xfId="0" applyFont="1" applyBorder="1" applyProtection="1">
      <protection locked="0"/>
    </xf>
    <xf numFmtId="0" fontId="3" fillId="2" borderId="23" xfId="0" applyFont="1" applyFill="1" applyBorder="1" applyProtection="1"/>
    <xf numFmtId="0" fontId="24" fillId="4" borderId="0" xfId="0" applyFont="1" applyFill="1" applyBorder="1" applyProtection="1"/>
    <xf numFmtId="2" fontId="26" fillId="5" borderId="0" xfId="0" applyNumberFormat="1" applyFont="1" applyFill="1" applyBorder="1" applyAlignment="1" applyProtection="1">
      <alignment horizontal="right"/>
    </xf>
    <xf numFmtId="0" fontId="24" fillId="5" borderId="0" xfId="0" applyFont="1" applyFill="1" applyBorder="1" applyProtection="1"/>
    <xf numFmtId="0" fontId="26" fillId="5" borderId="0" xfId="0" applyFont="1" applyFill="1" applyBorder="1" applyProtection="1"/>
    <xf numFmtId="0" fontId="24" fillId="4" borderId="0" xfId="0" applyFont="1" applyFill="1" applyProtection="1"/>
    <xf numFmtId="0" fontId="26" fillId="0" borderId="0" xfId="0" applyFont="1"/>
    <xf numFmtId="0" fontId="24" fillId="0" borderId="0" xfId="0" applyFont="1"/>
    <xf numFmtId="0" fontId="29" fillId="0" borderId="0" xfId="2" applyFont="1" applyAlignment="1" applyProtection="1">
      <alignment horizontal="center"/>
    </xf>
    <xf numFmtId="0" fontId="24" fillId="0" borderId="0" xfId="0" applyFont="1" applyProtection="1">
      <protection hidden="1"/>
    </xf>
    <xf numFmtId="0" fontId="24" fillId="0" borderId="0" xfId="0" applyFont="1" applyAlignment="1">
      <alignment wrapText="1"/>
    </xf>
    <xf numFmtId="0" fontId="25" fillId="0" borderId="0" xfId="0" applyFont="1"/>
    <xf numFmtId="0" fontId="24" fillId="0" borderId="24" xfId="0" applyFont="1" applyBorder="1" applyAlignment="1">
      <alignment horizontal="center"/>
    </xf>
    <xf numFmtId="0" fontId="24" fillId="0" borderId="0" xfId="0" applyFont="1" applyBorder="1" applyAlignment="1">
      <alignment horizontal="center"/>
    </xf>
    <xf numFmtId="0" fontId="24" fillId="0" borderId="0" xfId="0" applyFont="1" applyBorder="1" applyAlignment="1" applyProtection="1">
      <alignment horizontal="center" vertical="center"/>
      <protection locked="0"/>
    </xf>
    <xf numFmtId="0" fontId="24" fillId="0" borderId="0" xfId="0" applyFont="1" applyFill="1" applyBorder="1" applyAlignment="1" applyProtection="1">
      <alignment horizontal="center" vertical="center" wrapText="1"/>
      <protection locked="0"/>
    </xf>
    <xf numFmtId="0" fontId="24" fillId="0" borderId="0" xfId="0" applyFont="1" applyFill="1" applyBorder="1" applyAlignment="1" applyProtection="1">
      <alignment horizontal="center" vertical="center"/>
      <protection hidden="1"/>
    </xf>
    <xf numFmtId="0" fontId="24" fillId="0" borderId="0" xfId="0" applyFont="1" applyFill="1" applyBorder="1" applyAlignment="1" applyProtection="1">
      <alignment horizontal="center" vertical="center"/>
      <protection locked="0"/>
    </xf>
    <xf numFmtId="0" fontId="31" fillId="0" borderId="0" xfId="2" applyFont="1" applyAlignment="1" applyProtection="1">
      <alignment horizontal="center"/>
    </xf>
    <xf numFmtId="0" fontId="24" fillId="0" borderId="8" xfId="0" applyFont="1" applyFill="1" applyBorder="1" applyAlignment="1">
      <alignment wrapText="1"/>
    </xf>
    <xf numFmtId="0" fontId="24" fillId="0" borderId="5" xfId="0" applyFont="1" applyBorder="1" applyAlignment="1">
      <alignment wrapText="1"/>
    </xf>
    <xf numFmtId="0" fontId="24" fillId="0" borderId="4" xfId="0" applyFont="1" applyBorder="1" applyAlignment="1">
      <alignment horizontal="center"/>
    </xf>
    <xf numFmtId="0" fontId="24" fillId="0" borderId="8" xfId="0" applyFont="1" applyBorder="1" applyAlignment="1">
      <alignment wrapText="1"/>
    </xf>
    <xf numFmtId="0" fontId="24" fillId="0" borderId="25" xfId="0" applyFont="1" applyBorder="1" applyAlignment="1">
      <alignment horizontal="center"/>
    </xf>
    <xf numFmtId="0" fontId="24" fillId="0" borderId="0" xfId="0" applyFont="1" applyAlignment="1">
      <alignment horizontal="left" vertical="center" wrapText="1"/>
    </xf>
    <xf numFmtId="0" fontId="24" fillId="0" borderId="26" xfId="0" applyFont="1" applyBorder="1" applyAlignment="1">
      <alignment wrapText="1"/>
    </xf>
    <xf numFmtId="0" fontId="24" fillId="0" borderId="1" xfId="0" applyFont="1" applyBorder="1" applyAlignment="1">
      <alignment horizontal="center"/>
    </xf>
    <xf numFmtId="0" fontId="27" fillId="0" borderId="0" xfId="2" applyFont="1" applyAlignment="1" applyProtection="1"/>
    <xf numFmtId="0" fontId="32" fillId="0" borderId="0" xfId="0" applyFont="1" applyProtection="1">
      <protection hidden="1"/>
    </xf>
    <xf numFmtId="0" fontId="32" fillId="0" borderId="0" xfId="0" applyFont="1"/>
    <xf numFmtId="0" fontId="2" fillId="0" borderId="0" xfId="2" applyAlignment="1" applyProtection="1">
      <alignment horizontal="center"/>
      <protection hidden="1"/>
    </xf>
    <xf numFmtId="0" fontId="2" fillId="0" borderId="0" xfId="2" applyAlignment="1" applyProtection="1">
      <alignment horizontal="center"/>
    </xf>
    <xf numFmtId="2" fontId="26" fillId="4" borderId="0" xfId="0" applyNumberFormat="1" applyFont="1" applyFill="1" applyBorder="1" applyAlignment="1" applyProtection="1">
      <alignment horizontal="center" vertical="center"/>
    </xf>
    <xf numFmtId="0" fontId="33" fillId="2" borderId="0" xfId="0" applyFont="1" applyFill="1" applyAlignment="1"/>
    <xf numFmtId="0" fontId="4" fillId="2" borderId="0" xfId="0" applyFont="1" applyFill="1" applyAlignment="1" applyProtection="1">
      <alignment horizontal="left" wrapText="1"/>
    </xf>
    <xf numFmtId="1" fontId="4" fillId="2" borderId="0" xfId="0" applyNumberFormat="1" applyFont="1" applyFill="1" applyBorder="1" applyAlignment="1" applyProtection="1">
      <alignment horizontal="center"/>
    </xf>
    <xf numFmtId="1" fontId="4" fillId="2" borderId="0" xfId="0" quotePrefix="1" applyNumberFormat="1" applyFont="1" applyFill="1" applyBorder="1" applyAlignment="1" applyProtection="1">
      <alignment horizontal="center"/>
    </xf>
    <xf numFmtId="0" fontId="4" fillId="2" borderId="0" xfId="0" applyFont="1" applyFill="1" applyBorder="1" applyAlignment="1" applyProtection="1">
      <alignment horizontal="center"/>
    </xf>
    <xf numFmtId="2" fontId="4" fillId="2" borderId="0" xfId="0" applyNumberFormat="1" applyFont="1" applyFill="1" applyBorder="1" applyAlignment="1" applyProtection="1">
      <alignment horizontal="center"/>
    </xf>
    <xf numFmtId="2" fontId="26" fillId="2" borderId="27" xfId="0" applyNumberFormat="1" applyFont="1" applyFill="1" applyBorder="1" applyAlignment="1" applyProtection="1"/>
    <xf numFmtId="2" fontId="26" fillId="2" borderId="23" xfId="0" applyNumberFormat="1" applyFont="1" applyFill="1" applyBorder="1" applyAlignment="1" applyProtection="1"/>
    <xf numFmtId="0" fontId="13" fillId="0" borderId="22" xfId="3" applyFont="1" applyBorder="1" applyProtection="1">
      <protection locked="0"/>
    </xf>
    <xf numFmtId="0" fontId="13" fillId="0" borderId="9" xfId="3" applyFont="1" applyBorder="1" applyProtection="1">
      <protection locked="0"/>
    </xf>
    <xf numFmtId="0" fontId="24" fillId="2" borderId="28" xfId="0" applyFont="1" applyFill="1" applyBorder="1" applyAlignment="1" applyProtection="1"/>
    <xf numFmtId="0" fontId="24" fillId="2" borderId="29" xfId="0" applyFont="1" applyFill="1" applyBorder="1" applyAlignment="1" applyProtection="1"/>
    <xf numFmtId="0" fontId="15" fillId="0" borderId="20" xfId="3" applyFont="1" applyBorder="1" applyProtection="1">
      <protection locked="0"/>
    </xf>
    <xf numFmtId="1" fontId="15" fillId="0" borderId="21" xfId="3" applyNumberFormat="1" applyFont="1" applyBorder="1" applyProtection="1">
      <protection locked="0"/>
    </xf>
    <xf numFmtId="0" fontId="36" fillId="0" borderId="19" xfId="3" applyFont="1" applyBorder="1" applyAlignment="1" applyProtection="1">
      <protection locked="0"/>
    </xf>
    <xf numFmtId="1" fontId="15" fillId="0" borderId="0" xfId="3" applyNumberFormat="1" applyFont="1" applyBorder="1" applyProtection="1">
      <protection locked="0"/>
    </xf>
    <xf numFmtId="0" fontId="41" fillId="0" borderId="19" xfId="3" applyFont="1" applyBorder="1" applyAlignment="1" applyProtection="1">
      <protection locked="0"/>
    </xf>
    <xf numFmtId="0" fontId="41" fillId="0" borderId="19" xfId="3" applyFont="1" applyBorder="1" applyProtection="1">
      <protection locked="0"/>
    </xf>
    <xf numFmtId="0" fontId="15" fillId="0" borderId="21" xfId="0" applyFont="1" applyBorder="1" applyProtection="1">
      <protection locked="0"/>
    </xf>
    <xf numFmtId="0" fontId="15" fillId="0" borderId="0" xfId="0" applyFont="1" applyBorder="1" applyProtection="1">
      <protection locked="0"/>
    </xf>
    <xf numFmtId="0" fontId="41" fillId="0" borderId="19" xfId="0" applyFont="1" applyBorder="1" applyAlignment="1" applyProtection="1">
      <protection locked="0"/>
    </xf>
    <xf numFmtId="0" fontId="1" fillId="4" borderId="0" xfId="0" applyFont="1" applyFill="1" applyBorder="1" applyProtection="1"/>
    <xf numFmtId="0" fontId="39" fillId="0" borderId="0" xfId="0" applyFont="1" applyBorder="1" applyAlignment="1" applyProtection="1">
      <alignment horizontal="center"/>
    </xf>
    <xf numFmtId="0" fontId="1" fillId="2" borderId="0" xfId="0" applyFont="1" applyFill="1" applyProtection="1"/>
    <xf numFmtId="164" fontId="4" fillId="2" borderId="8" xfId="0" applyNumberFormat="1" applyFont="1" applyFill="1" applyBorder="1" applyAlignment="1" applyProtection="1">
      <alignment horizontal="center" vertical="center"/>
      <protection locked="0"/>
    </xf>
    <xf numFmtId="164" fontId="4" fillId="2" borderId="0" xfId="0" applyNumberFormat="1" applyFont="1" applyFill="1" applyBorder="1" applyAlignment="1" applyProtection="1">
      <alignment horizontal="center" vertical="center"/>
      <protection locked="0"/>
    </xf>
    <xf numFmtId="0" fontId="4" fillId="6" borderId="27" xfId="0" applyFont="1" applyFill="1" applyBorder="1" applyAlignment="1" applyProtection="1">
      <alignment horizontal="center"/>
    </xf>
    <xf numFmtId="0" fontId="3" fillId="4" borderId="0" xfId="0" applyFont="1" applyFill="1" applyBorder="1" applyProtection="1"/>
    <xf numFmtId="0" fontId="3" fillId="4" borderId="0" xfId="0" applyFont="1" applyFill="1" applyBorder="1" applyAlignment="1" applyProtection="1">
      <alignment horizontal="center"/>
    </xf>
    <xf numFmtId="0" fontId="1" fillId="0" borderId="0" xfId="0" applyFont="1" applyProtection="1"/>
    <xf numFmtId="0" fontId="1" fillId="2" borderId="5" xfId="0" applyFont="1" applyFill="1" applyBorder="1" applyAlignment="1" applyProtection="1">
      <alignment horizontal="center"/>
    </xf>
    <xf numFmtId="0" fontId="1" fillId="2" borderId="6" xfId="0" applyFont="1" applyFill="1" applyBorder="1" applyAlignment="1" applyProtection="1">
      <alignment horizontal="center"/>
    </xf>
    <xf numFmtId="0" fontId="24" fillId="2" borderId="6" xfId="0" applyFont="1" applyFill="1" applyBorder="1" applyAlignment="1" applyProtection="1">
      <alignment horizontal="center"/>
    </xf>
    <xf numFmtId="0" fontId="0" fillId="2" borderId="0" xfId="0" applyFill="1" applyAlignment="1"/>
    <xf numFmtId="0" fontId="3" fillId="0" borderId="0" xfId="0" applyFont="1" applyBorder="1" applyProtection="1"/>
    <xf numFmtId="0" fontId="4" fillId="0" borderId="0" xfId="0" applyFont="1" applyBorder="1" applyProtection="1">
      <protection hidden="1"/>
    </xf>
    <xf numFmtId="0" fontId="3" fillId="0" borderId="0" xfId="0" applyFont="1" applyBorder="1" applyProtection="1">
      <protection hidden="1"/>
    </xf>
    <xf numFmtId="0" fontId="3" fillId="0" borderId="0" xfId="0" applyFont="1" applyAlignment="1" applyProtection="1">
      <alignment wrapText="1"/>
      <protection hidden="1"/>
    </xf>
    <xf numFmtId="0" fontId="38" fillId="6" borderId="30" xfId="0" applyFont="1" applyFill="1" applyBorder="1" applyAlignment="1" applyProtection="1">
      <alignment horizontal="right" wrapText="1"/>
    </xf>
    <xf numFmtId="0" fontId="38" fillId="6" borderId="27" xfId="0" applyFont="1" applyFill="1" applyBorder="1" applyAlignment="1" applyProtection="1">
      <alignment horizontal="right" wrapText="1"/>
    </xf>
    <xf numFmtId="0" fontId="15" fillId="2" borderId="14" xfId="0" applyFont="1" applyFill="1" applyBorder="1" applyAlignment="1" applyProtection="1">
      <alignment horizontal="left" vertical="center" wrapText="1"/>
    </xf>
    <xf numFmtId="0" fontId="15" fillId="2" borderId="15" xfId="0" applyFont="1" applyFill="1" applyBorder="1" applyAlignment="1" applyProtection="1">
      <alignment horizontal="left" vertical="center" wrapText="1"/>
    </xf>
    <xf numFmtId="0" fontId="15" fillId="2" borderId="16" xfId="0" applyFont="1" applyFill="1" applyBorder="1" applyAlignment="1" applyProtection="1">
      <alignment horizontal="left" vertical="center" wrapText="1"/>
    </xf>
    <xf numFmtId="2" fontId="4" fillId="7" borderId="6" xfId="0" applyNumberFormat="1" applyFont="1" applyFill="1" applyBorder="1" applyAlignment="1" applyProtection="1">
      <alignment horizontal="left" vertical="center"/>
    </xf>
    <xf numFmtId="0" fontId="4" fillId="5" borderId="0" xfId="0" applyFont="1" applyFill="1" applyBorder="1" applyAlignment="1" applyProtection="1">
      <alignment horizontal="center" vertical="center"/>
    </xf>
    <xf numFmtId="2" fontId="18" fillId="0" borderId="0" xfId="0" applyNumberFormat="1" applyFont="1" applyProtection="1"/>
    <xf numFmtId="164" fontId="4" fillId="6" borderId="2" xfId="0" applyNumberFormat="1" applyFont="1" applyFill="1" applyBorder="1" applyAlignment="1" applyProtection="1">
      <alignment horizontal="center" vertical="center"/>
      <protection locked="0"/>
    </xf>
    <xf numFmtId="0" fontId="7" fillId="0" borderId="3" xfId="0" applyFont="1" applyBorder="1" applyAlignment="1" applyProtection="1">
      <alignment horizontal="left"/>
      <protection hidden="1"/>
    </xf>
    <xf numFmtId="0" fontId="3" fillId="0" borderId="2" xfId="0" applyFont="1" applyBorder="1" applyAlignment="1">
      <alignment horizontal="left" wrapText="1"/>
    </xf>
    <xf numFmtId="0" fontId="3" fillId="0" borderId="0" xfId="0" applyFont="1" applyBorder="1" applyAlignment="1" applyProtection="1">
      <alignment horizontal="right" vertical="center" wrapText="1"/>
    </xf>
    <xf numFmtId="0" fontId="45" fillId="0" borderId="0" xfId="0" applyFont="1" applyFill="1" applyBorder="1" applyAlignment="1" applyProtection="1">
      <alignment horizontal="center" wrapText="1"/>
    </xf>
    <xf numFmtId="0" fontId="46" fillId="0" borderId="2" xfId="0" applyFont="1" applyBorder="1" applyAlignment="1" applyProtection="1">
      <alignment horizontal="left" vertical="center" wrapText="1"/>
    </xf>
    <xf numFmtId="0" fontId="5" fillId="4" borderId="0" xfId="0" applyFont="1" applyFill="1" applyBorder="1" applyAlignment="1" applyProtection="1">
      <alignment horizontal="right" wrapText="1"/>
    </xf>
    <xf numFmtId="0" fontId="46" fillId="0" borderId="31" xfId="0" applyFont="1" applyBorder="1" applyAlignment="1" applyProtection="1">
      <alignment vertical="center" wrapText="1"/>
    </xf>
    <xf numFmtId="0" fontId="46" fillId="0" borderId="30" xfId="0" applyFont="1" applyBorder="1" applyAlignment="1" applyProtection="1">
      <alignment vertical="center" wrapText="1"/>
    </xf>
    <xf numFmtId="0" fontId="46" fillId="0" borderId="27" xfId="0" applyFont="1" applyBorder="1" applyAlignment="1" applyProtection="1">
      <alignment vertical="center" wrapText="1"/>
    </xf>
    <xf numFmtId="0" fontId="48" fillId="0" borderId="27" xfId="0" applyFont="1" applyBorder="1" applyAlignment="1" applyProtection="1">
      <alignment horizontal="right" vertical="center" wrapText="1"/>
    </xf>
    <xf numFmtId="0" fontId="48" fillId="0" borderId="27" xfId="0" applyFont="1" applyBorder="1" applyAlignment="1" applyProtection="1">
      <alignment horizontal="right" wrapText="1"/>
    </xf>
    <xf numFmtId="0" fontId="5" fillId="0" borderId="27" xfId="0" applyFont="1" applyBorder="1" applyAlignment="1" applyProtection="1">
      <alignment horizontal="right" wrapText="1"/>
    </xf>
    <xf numFmtId="0" fontId="4" fillId="6" borderId="23" xfId="0" applyFont="1" applyFill="1" applyBorder="1" applyAlignment="1" applyProtection="1">
      <alignment horizontal="right" wrapText="1"/>
    </xf>
    <xf numFmtId="0" fontId="38" fillId="6" borderId="28" xfId="0" applyFont="1" applyFill="1" applyBorder="1" applyAlignment="1" applyProtection="1">
      <alignment horizontal="right" wrapText="1"/>
    </xf>
    <xf numFmtId="0" fontId="1" fillId="4" borderId="9" xfId="0" applyFont="1" applyFill="1" applyBorder="1" applyProtection="1"/>
    <xf numFmtId="0" fontId="40" fillId="0" borderId="9" xfId="0" applyFont="1" applyFill="1" applyBorder="1" applyAlignment="1" applyProtection="1">
      <alignment wrapText="1"/>
    </xf>
    <xf numFmtId="0" fontId="37" fillId="2" borderId="21" xfId="0" applyFont="1" applyFill="1" applyBorder="1" applyAlignment="1" applyProtection="1">
      <alignment horizontal="center" vertical="center" wrapText="1"/>
    </xf>
    <xf numFmtId="0" fontId="37" fillId="2" borderId="0" xfId="0" applyFont="1" applyFill="1" applyBorder="1" applyAlignment="1" applyProtection="1">
      <alignment horizontal="center" vertical="center" wrapText="1"/>
    </xf>
    <xf numFmtId="0" fontId="37" fillId="0" borderId="32" xfId="0" applyFont="1" applyBorder="1" applyAlignment="1" applyProtection="1">
      <alignment horizontal="right" vertical="center" wrapText="1"/>
    </xf>
    <xf numFmtId="0" fontId="37" fillId="0" borderId="1" xfId="0" applyFont="1" applyBorder="1" applyAlignment="1" applyProtection="1">
      <alignment horizontal="right" vertical="center" wrapText="1"/>
    </xf>
    <xf numFmtId="0" fontId="37" fillId="0" borderId="2" xfId="0" applyFont="1" applyBorder="1" applyAlignment="1" applyProtection="1">
      <alignment horizontal="right" vertical="center" wrapText="1"/>
    </xf>
    <xf numFmtId="1" fontId="4" fillId="7" borderId="1" xfId="0" applyNumberFormat="1" applyFont="1" applyFill="1" applyBorder="1" applyAlignment="1" applyProtection="1">
      <alignment horizontal="center" vertical="center"/>
    </xf>
    <xf numFmtId="1" fontId="4" fillId="7" borderId="4" xfId="0" applyNumberFormat="1" applyFont="1" applyFill="1" applyBorder="1" applyAlignment="1" applyProtection="1">
      <alignment horizontal="center" vertical="center"/>
    </xf>
    <xf numFmtId="0" fontId="4" fillId="0" borderId="2" xfId="2" applyFont="1" applyBorder="1" applyAlignment="1" applyProtection="1">
      <alignment horizontal="center" vertical="center" wrapText="1"/>
    </xf>
    <xf numFmtId="0" fontId="3" fillId="0" borderId="2" xfId="0" applyFont="1" applyFill="1" applyBorder="1" applyAlignment="1" applyProtection="1">
      <alignment horizontal="left" wrapText="1"/>
    </xf>
    <xf numFmtId="0" fontId="3" fillId="0" borderId="2" xfId="0" applyFont="1" applyFill="1" applyBorder="1" applyAlignment="1" applyProtection="1">
      <alignment horizontal="left" vertical="center" wrapText="1"/>
    </xf>
    <xf numFmtId="0" fontId="4" fillId="0" borderId="2" xfId="0" applyFont="1" applyBorder="1" applyAlignment="1" applyProtection="1">
      <alignment horizontal="center" vertical="center"/>
    </xf>
    <xf numFmtId="0" fontId="24" fillId="0" borderId="0" xfId="0" applyFont="1" applyBorder="1" applyProtection="1"/>
    <xf numFmtId="0" fontId="24" fillId="4" borderId="33" xfId="0" applyFont="1" applyFill="1" applyBorder="1" applyProtection="1"/>
    <xf numFmtId="0" fontId="24" fillId="5" borderId="8" xfId="0" applyFont="1" applyFill="1" applyBorder="1" applyAlignment="1" applyProtection="1">
      <alignment horizontal="right" wrapText="1"/>
    </xf>
    <xf numFmtId="0" fontId="24" fillId="5" borderId="33" xfId="0" applyFont="1" applyFill="1" applyBorder="1" applyProtection="1"/>
    <xf numFmtId="0" fontId="24" fillId="5" borderId="8" xfId="0" applyFont="1" applyFill="1" applyBorder="1" applyAlignment="1" applyProtection="1">
      <alignment wrapText="1"/>
    </xf>
    <xf numFmtId="0" fontId="4" fillId="6" borderId="34" xfId="0" applyFont="1" applyFill="1" applyBorder="1" applyAlignment="1" applyProtection="1">
      <alignment horizontal="left" vertical="center" wrapText="1"/>
    </xf>
    <xf numFmtId="1" fontId="4" fillId="0" borderId="27" xfId="0" applyNumberFormat="1" applyFont="1" applyFill="1" applyBorder="1" applyAlignment="1" applyProtection="1">
      <alignment horizontal="center" vertical="center"/>
    </xf>
    <xf numFmtId="0" fontId="4" fillId="6" borderId="5" xfId="0" applyFont="1" applyFill="1" applyBorder="1" applyAlignment="1" applyProtection="1">
      <alignment horizontal="left" vertical="center" wrapText="1"/>
    </xf>
    <xf numFmtId="1" fontId="4" fillId="0" borderId="4" xfId="0" quotePrefix="1" applyNumberFormat="1" applyFont="1" applyFill="1" applyBorder="1" applyAlignment="1" applyProtection="1">
      <alignment horizontal="center" vertical="center"/>
    </xf>
    <xf numFmtId="0" fontId="4" fillId="5" borderId="8" xfId="0" applyFont="1" applyFill="1" applyBorder="1" applyAlignment="1" applyProtection="1">
      <alignment horizontal="left" vertical="center" wrapText="1"/>
    </xf>
    <xf numFmtId="0" fontId="4" fillId="5" borderId="33" xfId="0" applyFont="1" applyFill="1" applyBorder="1" applyAlignment="1" applyProtection="1">
      <alignment horizontal="center" vertical="center"/>
    </xf>
    <xf numFmtId="0" fontId="46" fillId="0" borderId="3" xfId="0" applyFont="1" applyFill="1" applyBorder="1" applyAlignment="1">
      <alignment horizontal="left" vertical="center" wrapText="1"/>
    </xf>
    <xf numFmtId="0" fontId="24" fillId="8" borderId="35" xfId="0" applyFont="1" applyFill="1" applyBorder="1" applyAlignment="1" applyProtection="1"/>
    <xf numFmtId="0" fontId="4" fillId="8" borderId="3" xfId="0" applyFont="1" applyFill="1" applyBorder="1" applyAlignment="1" applyProtection="1">
      <alignment horizontal="center" vertical="center"/>
      <protection locked="0"/>
    </xf>
    <xf numFmtId="2" fontId="4" fillId="8" borderId="2" xfId="0" applyNumberFormat="1" applyFont="1" applyFill="1" applyBorder="1" applyAlignment="1" applyProtection="1">
      <alignment horizontal="left"/>
      <protection locked="0"/>
    </xf>
    <xf numFmtId="0" fontId="4" fillId="8" borderId="2" xfId="0" applyFont="1" applyFill="1" applyBorder="1" applyProtection="1">
      <protection locked="0"/>
    </xf>
    <xf numFmtId="0" fontId="4" fillId="8" borderId="4" xfId="0" applyFont="1" applyFill="1" applyBorder="1" applyProtection="1">
      <protection locked="0"/>
    </xf>
    <xf numFmtId="0" fontId="24" fillId="9" borderId="36" xfId="0" applyFont="1" applyFill="1" applyBorder="1" applyAlignment="1" applyProtection="1"/>
    <xf numFmtId="2" fontId="1" fillId="0" borderId="0" xfId="0" applyNumberFormat="1" applyFont="1" applyProtection="1"/>
    <xf numFmtId="2" fontId="7" fillId="0" borderId="0" xfId="0" applyNumberFormat="1" applyFont="1" applyProtection="1"/>
    <xf numFmtId="0" fontId="7" fillId="0" borderId="0" xfId="0" applyFont="1" applyProtection="1"/>
    <xf numFmtId="49" fontId="7" fillId="0" borderId="2" xfId="0" applyNumberFormat="1" applyFont="1" applyBorder="1" applyProtection="1"/>
    <xf numFmtId="0" fontId="3" fillId="0" borderId="3" xfId="0" applyFont="1" applyBorder="1" applyAlignment="1" applyProtection="1">
      <alignment horizontal="left" wrapText="1"/>
      <protection hidden="1"/>
    </xf>
    <xf numFmtId="0" fontId="7" fillId="10" borderId="37" xfId="0" applyFont="1" applyFill="1" applyBorder="1" applyAlignment="1" applyProtection="1">
      <alignment horizontal="center" wrapText="1"/>
      <protection locked="0"/>
    </xf>
    <xf numFmtId="0" fontId="3" fillId="0" borderId="21" xfId="0" applyFont="1" applyBorder="1" applyAlignment="1" applyProtection="1">
      <alignment horizontal="center" wrapText="1"/>
      <protection hidden="1"/>
    </xf>
    <xf numFmtId="0" fontId="3" fillId="0" borderId="20" xfId="0" applyFont="1" applyBorder="1" applyAlignment="1" applyProtection="1">
      <alignment horizontal="left" wrapText="1"/>
      <protection hidden="1"/>
    </xf>
    <xf numFmtId="0" fontId="3" fillId="0" borderId="38" xfId="0" applyFont="1" applyBorder="1" applyAlignment="1" applyProtection="1">
      <alignment horizontal="center"/>
      <protection hidden="1"/>
    </xf>
    <xf numFmtId="0" fontId="3" fillId="8" borderId="2" xfId="0" applyFont="1" applyFill="1" applyBorder="1" applyAlignment="1" applyProtection="1">
      <alignment horizontal="center"/>
      <protection hidden="1"/>
    </xf>
    <xf numFmtId="0" fontId="3" fillId="8" borderId="2" xfId="0" applyFont="1" applyFill="1" applyBorder="1" applyAlignment="1" applyProtection="1">
      <alignment horizontal="center" vertical="center"/>
      <protection locked="0"/>
    </xf>
    <xf numFmtId="0" fontId="7" fillId="8" borderId="18" xfId="0" applyFont="1" applyFill="1" applyBorder="1" applyAlignment="1" applyProtection="1">
      <alignment horizontal="left"/>
      <protection locked="0"/>
    </xf>
    <xf numFmtId="0" fontId="7" fillId="8" borderId="37" xfId="0" applyFont="1" applyFill="1" applyBorder="1" applyAlignment="1" applyProtection="1">
      <alignment horizontal="left"/>
      <protection locked="0"/>
    </xf>
    <xf numFmtId="0" fontId="3" fillId="8" borderId="37" xfId="0" applyFont="1" applyFill="1" applyBorder="1" applyAlignment="1" applyProtection="1">
      <alignment horizontal="left" wrapText="1"/>
      <protection locked="0"/>
    </xf>
    <xf numFmtId="0" fontId="3" fillId="8" borderId="39" xfId="0" applyFont="1" applyFill="1" applyBorder="1" applyAlignment="1" applyProtection="1">
      <alignment horizontal="left" wrapText="1"/>
      <protection locked="0"/>
    </xf>
    <xf numFmtId="1" fontId="3" fillId="8" borderId="2" xfId="0" applyNumberFormat="1" applyFont="1" applyFill="1" applyBorder="1" applyAlignment="1" applyProtection="1">
      <alignment horizontal="center" vertical="center"/>
      <protection locked="0"/>
    </xf>
    <xf numFmtId="9" fontId="3" fillId="8" borderId="2" xfId="0" applyNumberFormat="1" applyFont="1" applyFill="1" applyBorder="1" applyAlignment="1" applyProtection="1">
      <alignment horizontal="center" vertical="center"/>
      <protection locked="0"/>
    </xf>
    <xf numFmtId="9" fontId="3" fillId="8" borderId="1" xfId="0" applyNumberFormat="1" applyFont="1" applyFill="1" applyBorder="1" applyAlignment="1" applyProtection="1">
      <alignment horizontal="center" vertical="center"/>
      <protection locked="0"/>
    </xf>
    <xf numFmtId="0" fontId="24" fillId="8" borderId="2" xfId="0" applyFont="1" applyFill="1" applyBorder="1" applyAlignment="1" applyProtection="1">
      <alignment horizontal="center" vertical="center" wrapText="1"/>
      <protection locked="0"/>
    </xf>
    <xf numFmtId="0" fontId="24" fillId="8" borderId="2" xfId="0" applyFont="1" applyFill="1" applyBorder="1" applyAlignment="1" applyProtection="1">
      <alignment horizontal="center" vertical="center"/>
      <protection locked="0"/>
    </xf>
    <xf numFmtId="0" fontId="3" fillId="8" borderId="2" xfId="0" applyNumberFormat="1" applyFont="1" applyFill="1" applyBorder="1" applyAlignment="1" applyProtection="1">
      <alignment horizontal="center" vertical="center"/>
      <protection locked="0"/>
    </xf>
    <xf numFmtId="0" fontId="3" fillId="8" borderId="1" xfId="0" applyNumberFormat="1" applyFont="1" applyFill="1" applyBorder="1" applyAlignment="1" applyProtection="1">
      <alignment horizontal="center" vertical="center"/>
      <protection locked="0"/>
    </xf>
    <xf numFmtId="2" fontId="3" fillId="0" borderId="0" xfId="0" applyNumberFormat="1" applyFont="1" applyProtection="1">
      <protection hidden="1"/>
    </xf>
    <xf numFmtId="2" fontId="3" fillId="0" borderId="0" xfId="0" applyNumberFormat="1" applyFont="1" applyAlignment="1" applyProtection="1">
      <alignment horizontal="center" wrapText="1"/>
      <protection hidden="1"/>
    </xf>
    <xf numFmtId="2" fontId="3" fillId="0" borderId="2" xfId="0" applyNumberFormat="1" applyFont="1" applyBorder="1" applyAlignment="1" applyProtection="1">
      <alignment horizontal="center"/>
      <protection hidden="1"/>
    </xf>
    <xf numFmtId="2" fontId="7" fillId="0" borderId="0" xfId="0" applyNumberFormat="1" applyFont="1" applyProtection="1">
      <protection hidden="1"/>
    </xf>
    <xf numFmtId="2" fontId="2" fillId="0" borderId="0" xfId="2" applyNumberFormat="1" applyAlignment="1" applyProtection="1">
      <alignment horizontal="center"/>
      <protection hidden="1"/>
    </xf>
    <xf numFmtId="2" fontId="21" fillId="0" borderId="0" xfId="0" applyNumberFormat="1" applyFont="1" applyProtection="1">
      <protection hidden="1"/>
    </xf>
    <xf numFmtId="2" fontId="21" fillId="0" borderId="0" xfId="0" applyNumberFormat="1" applyFont="1" applyAlignment="1" applyProtection="1">
      <alignment horizontal="center"/>
      <protection hidden="1"/>
    </xf>
    <xf numFmtId="2" fontId="3" fillId="0" borderId="38" xfId="0" applyNumberFormat="1" applyFont="1" applyBorder="1" applyAlignment="1" applyProtection="1">
      <alignment horizontal="center"/>
      <protection hidden="1"/>
    </xf>
    <xf numFmtId="2" fontId="3" fillId="0" borderId="40" xfId="0" applyNumberFormat="1" applyFont="1" applyBorder="1" applyAlignment="1" applyProtection="1">
      <alignment horizontal="center"/>
      <protection hidden="1"/>
    </xf>
    <xf numFmtId="2" fontId="2" fillId="0" borderId="2" xfId="2" applyNumberFormat="1" applyBorder="1" applyAlignment="1" applyProtection="1">
      <alignment horizontal="center"/>
      <protection hidden="1"/>
    </xf>
    <xf numFmtId="2" fontId="3" fillId="0" borderId="0" xfId="0" applyNumberFormat="1" applyFont="1" applyBorder="1" applyAlignment="1" applyProtection="1">
      <alignment horizontal="left" vertical="top" wrapText="1"/>
      <protection hidden="1"/>
    </xf>
    <xf numFmtId="0" fontId="3" fillId="0" borderId="0" xfId="0" applyNumberFormat="1" applyFont="1" applyProtection="1">
      <protection hidden="1"/>
    </xf>
    <xf numFmtId="0" fontId="3" fillId="0" borderId="0" xfId="0" applyNumberFormat="1" applyFont="1" applyProtection="1"/>
    <xf numFmtId="0" fontId="3" fillId="0" borderId="0" xfId="0" applyNumberFormat="1" applyFont="1" applyProtection="1">
      <protection locked="0" hidden="1"/>
    </xf>
    <xf numFmtId="0" fontId="3" fillId="0" borderId="0" xfId="0" applyFont="1" applyProtection="1">
      <protection locked="0" hidden="1"/>
    </xf>
    <xf numFmtId="0" fontId="50" fillId="0" borderId="0" xfId="2" applyFont="1" applyAlignment="1" applyProtection="1">
      <alignment horizontal="right"/>
    </xf>
    <xf numFmtId="0" fontId="50" fillId="0" borderId="0" xfId="2" applyFont="1" applyBorder="1" applyAlignment="1" applyProtection="1">
      <alignment horizontal="right"/>
    </xf>
    <xf numFmtId="0" fontId="50" fillId="0" borderId="9" xfId="2" applyFont="1" applyBorder="1" applyAlignment="1" applyProtection="1">
      <alignment horizontal="right"/>
    </xf>
    <xf numFmtId="0" fontId="50" fillId="0" borderId="16" xfId="2" applyFont="1" applyBorder="1" applyAlignment="1" applyProtection="1">
      <alignment horizontal="right"/>
    </xf>
    <xf numFmtId="0" fontId="50" fillId="0" borderId="8" xfId="2" applyFont="1" applyBorder="1" applyAlignment="1" applyProtection="1">
      <alignment horizontal="left" wrapText="1"/>
    </xf>
    <xf numFmtId="0" fontId="3" fillId="0" borderId="34" xfId="0" applyNumberFormat="1" applyFont="1" applyBorder="1" applyAlignment="1" applyProtection="1">
      <protection locked="0"/>
    </xf>
    <xf numFmtId="0" fontId="3" fillId="0" borderId="2" xfId="0" applyNumberFormat="1" applyFont="1" applyBorder="1" applyAlignment="1" applyProtection="1">
      <protection locked="0"/>
    </xf>
    <xf numFmtId="2" fontId="3" fillId="0" borderId="0" xfId="0" applyNumberFormat="1" applyFont="1" applyProtection="1"/>
    <xf numFmtId="0" fontId="3" fillId="0" borderId="0" xfId="0" applyFont="1" applyFill="1" applyBorder="1" applyProtection="1"/>
    <xf numFmtId="0" fontId="37" fillId="0" borderId="0" xfId="0" applyFont="1" applyAlignment="1" applyProtection="1">
      <alignment wrapText="1"/>
      <protection hidden="1"/>
    </xf>
    <xf numFmtId="0" fontId="4" fillId="0" borderId="0" xfId="0" applyFont="1" applyAlignment="1" applyProtection="1">
      <alignment wrapText="1"/>
      <protection hidden="1"/>
    </xf>
    <xf numFmtId="1" fontId="4" fillId="0" borderId="2" xfId="0" applyNumberFormat="1" applyFont="1" applyFill="1" applyBorder="1" applyAlignment="1" applyProtection="1">
      <alignment horizontal="right"/>
      <protection hidden="1"/>
    </xf>
    <xf numFmtId="2" fontId="3" fillId="0" borderId="0" xfId="0" applyNumberFormat="1" applyFont="1" applyFill="1" applyProtection="1">
      <protection hidden="1"/>
    </xf>
    <xf numFmtId="0" fontId="3" fillId="0" borderId="0" xfId="0" applyFont="1" applyFill="1" applyAlignment="1" applyProtection="1">
      <alignment wrapText="1"/>
      <protection hidden="1"/>
    </xf>
    <xf numFmtId="1" fontId="3" fillId="0" borderId="0" xfId="0" applyNumberFormat="1" applyFont="1" applyProtection="1">
      <protection hidden="1"/>
    </xf>
    <xf numFmtId="166" fontId="3" fillId="0" borderId="0" xfId="0" applyNumberFormat="1" applyFont="1" applyProtection="1">
      <protection hidden="1"/>
    </xf>
    <xf numFmtId="169" fontId="3" fillId="0" borderId="0" xfId="0" applyNumberFormat="1" applyFont="1" applyProtection="1">
      <protection hidden="1"/>
    </xf>
    <xf numFmtId="170" fontId="3" fillId="0" borderId="0" xfId="0" applyNumberFormat="1" applyFont="1" applyProtection="1">
      <protection hidden="1"/>
    </xf>
    <xf numFmtId="172" fontId="3" fillId="0" borderId="0" xfId="0" applyNumberFormat="1" applyFont="1" applyProtection="1">
      <protection hidden="1"/>
    </xf>
    <xf numFmtId="2" fontId="3" fillId="0" borderId="0" xfId="0" applyNumberFormat="1" applyFont="1" applyAlignment="1"/>
    <xf numFmtId="0" fontId="3" fillId="0" borderId="0" xfId="0" applyFont="1" applyAlignment="1" applyProtection="1">
      <protection hidden="1"/>
    </xf>
    <xf numFmtId="0" fontId="52" fillId="0" borderId="0" xfId="0" applyFont="1" applyProtection="1">
      <protection hidden="1"/>
    </xf>
    <xf numFmtId="0" fontId="52" fillId="0" borderId="0" xfId="0" applyFont="1"/>
    <xf numFmtId="2" fontId="3" fillId="0" borderId="0" xfId="0" applyNumberFormat="1" applyFont="1" applyFill="1" applyAlignment="1" applyProtection="1">
      <alignment horizontal="left" wrapText="1"/>
    </xf>
    <xf numFmtId="0" fontId="3" fillId="0" borderId="0" xfId="0" applyFont="1" applyFill="1" applyAlignment="1" applyProtection="1">
      <alignment horizontal="left" wrapText="1"/>
      <protection hidden="1"/>
    </xf>
    <xf numFmtId="2" fontId="52" fillId="0" borderId="0" xfId="0" applyNumberFormat="1" applyFont="1" applyProtection="1">
      <protection hidden="1"/>
    </xf>
    <xf numFmtId="2" fontId="3" fillId="0" borderId="0" xfId="0" applyNumberFormat="1" applyFont="1" applyFill="1" applyBorder="1" applyAlignment="1" applyProtection="1">
      <alignment horizontal="center"/>
    </xf>
    <xf numFmtId="1" fontId="3" fillId="0" borderId="0" xfId="0" applyNumberFormat="1" applyFont="1" applyFill="1" applyBorder="1" applyAlignment="1" applyProtection="1">
      <alignment horizontal="center"/>
      <protection hidden="1"/>
    </xf>
    <xf numFmtId="2" fontId="3" fillId="0" borderId="0" xfId="0" quotePrefix="1" applyNumberFormat="1" applyFont="1" applyFill="1" applyBorder="1" applyAlignment="1" applyProtection="1">
      <alignment horizontal="center"/>
    </xf>
    <xf numFmtId="1" fontId="3" fillId="0" borderId="0" xfId="0" quotePrefix="1" applyNumberFormat="1" applyFont="1" applyFill="1" applyBorder="1" applyAlignment="1" applyProtection="1">
      <alignment horizontal="center"/>
      <protection hidden="1"/>
    </xf>
    <xf numFmtId="0" fontId="3" fillId="0" borderId="0" xfId="0" applyFont="1" applyFill="1" applyBorder="1" applyAlignment="1" applyProtection="1">
      <alignment horizontal="center"/>
      <protection hidden="1"/>
    </xf>
    <xf numFmtId="2" fontId="3" fillId="0" borderId="0" xfId="0" applyNumberFormat="1" applyFont="1" applyFill="1" applyBorder="1" applyAlignment="1" applyProtection="1">
      <alignment horizontal="center"/>
      <protection hidden="1"/>
    </xf>
    <xf numFmtId="0" fontId="16" fillId="0" borderId="0" xfId="2" applyFont="1" applyFill="1" applyAlignment="1" applyProtection="1">
      <alignment horizontal="right"/>
      <protection hidden="1"/>
    </xf>
    <xf numFmtId="0" fontId="3" fillId="0" borderId="0" xfId="0" applyFont="1" applyFill="1" applyProtection="1">
      <protection hidden="1"/>
    </xf>
    <xf numFmtId="0" fontId="3" fillId="0" borderId="0" xfId="0" applyFont="1" applyFill="1" applyAlignment="1" applyProtection="1">
      <alignment horizontal="center" wrapText="1"/>
      <protection hidden="1"/>
    </xf>
    <xf numFmtId="0" fontId="3" fillId="0" borderId="0" xfId="0" applyFont="1" applyFill="1" applyAlignment="1" applyProtection="1">
      <alignment horizontal="center"/>
      <protection hidden="1"/>
    </xf>
    <xf numFmtId="1" fontId="3" fillId="0" borderId="0" xfId="0" applyNumberFormat="1" applyFont="1" applyFill="1" applyAlignment="1" applyProtection="1">
      <alignment horizontal="center"/>
      <protection hidden="1"/>
    </xf>
    <xf numFmtId="0" fontId="52" fillId="0" borderId="0" xfId="0" applyFont="1" applyAlignment="1" applyProtection="1">
      <protection hidden="1"/>
    </xf>
    <xf numFmtId="0" fontId="52" fillId="0" borderId="0" xfId="0" applyFont="1" applyAlignment="1"/>
    <xf numFmtId="3" fontId="4" fillId="0" borderId="0" xfId="0" applyNumberFormat="1" applyFont="1" applyFill="1" applyBorder="1" applyAlignment="1" applyProtection="1">
      <alignment horizontal="center"/>
    </xf>
    <xf numFmtId="175" fontId="3" fillId="0" borderId="0" xfId="0" applyNumberFormat="1" applyFont="1" applyProtection="1">
      <protection hidden="1"/>
    </xf>
    <xf numFmtId="0" fontId="1" fillId="0" borderId="0" xfId="0" applyFont="1"/>
    <xf numFmtId="2" fontId="52" fillId="11" borderId="0" xfId="0" applyNumberFormat="1" applyFont="1" applyFill="1" applyBorder="1" applyAlignment="1">
      <alignment vertical="center" wrapText="1"/>
    </xf>
    <xf numFmtId="1" fontId="52" fillId="0" borderId="0" xfId="0" applyNumberFormat="1" applyFont="1" applyBorder="1"/>
    <xf numFmtId="0" fontId="52" fillId="0" borderId="0" xfId="0" applyNumberFormat="1" applyFont="1" applyBorder="1" applyAlignment="1">
      <alignment vertical="center"/>
    </xf>
    <xf numFmtId="2" fontId="52" fillId="11" borderId="0" xfId="0" applyNumberFormat="1" applyFont="1" applyFill="1" applyBorder="1"/>
    <xf numFmtId="0" fontId="52" fillId="0" borderId="0" xfId="0" quotePrefix="1" applyNumberFormat="1" applyFont="1" applyBorder="1"/>
    <xf numFmtId="2" fontId="52" fillId="11" borderId="0" xfId="0" quotePrefix="1" applyNumberFormat="1" applyFont="1" applyFill="1" applyBorder="1"/>
    <xf numFmtId="0" fontId="52" fillId="0" borderId="0" xfId="0" applyNumberFormat="1" applyFont="1" applyFill="1" applyBorder="1"/>
    <xf numFmtId="0" fontId="3" fillId="0" borderId="0" xfId="0" applyFont="1" applyAlignment="1" applyProtection="1">
      <protection locked="0" hidden="1"/>
    </xf>
    <xf numFmtId="0" fontId="24" fillId="0" borderId="0" xfId="0" applyFont="1" applyProtection="1">
      <protection locked="0" hidden="1"/>
    </xf>
    <xf numFmtId="0" fontId="24" fillId="0" borderId="0" xfId="0" applyFont="1" applyAlignment="1">
      <alignment horizontal="center"/>
    </xf>
    <xf numFmtId="0" fontId="24" fillId="0" borderId="41" xfId="0" applyFont="1" applyBorder="1" applyAlignment="1" applyProtection="1">
      <alignment horizontal="center" vertical="center"/>
      <protection locked="0"/>
    </xf>
    <xf numFmtId="0" fontId="24" fillId="0" borderId="42" xfId="0" applyFont="1" applyBorder="1" applyAlignment="1">
      <alignment horizontal="center"/>
    </xf>
    <xf numFmtId="0" fontId="37" fillId="0" borderId="0" xfId="0" applyFont="1" applyAlignment="1" applyProtection="1">
      <alignment horizontal="center" wrapText="1"/>
      <protection hidden="1"/>
    </xf>
    <xf numFmtId="1" fontId="3" fillId="0" borderId="0" xfId="0" applyNumberFormat="1" applyFont="1" applyAlignment="1" applyProtection="1">
      <alignment horizontal="center"/>
      <protection hidden="1"/>
    </xf>
    <xf numFmtId="0" fontId="3" fillId="0" borderId="0" xfId="0" applyFont="1" applyAlignment="1" applyProtection="1">
      <alignment horizontal="center"/>
      <protection hidden="1"/>
    </xf>
    <xf numFmtId="2" fontId="7" fillId="8" borderId="2" xfId="0" applyNumberFormat="1" applyFont="1" applyFill="1" applyBorder="1" applyAlignment="1" applyProtection="1">
      <alignment horizontal="center"/>
      <protection locked="0"/>
    </xf>
    <xf numFmtId="0" fontId="7" fillId="8" borderId="2" xfId="0" applyFont="1" applyFill="1" applyBorder="1" applyAlignment="1" applyProtection="1">
      <alignment horizontal="center"/>
      <protection locked="0"/>
    </xf>
    <xf numFmtId="0" fontId="3" fillId="0" borderId="0" xfId="0" applyFont="1" applyBorder="1" applyAlignment="1" applyProtection="1">
      <alignment horizontal="right" wrapText="1"/>
      <protection hidden="1"/>
    </xf>
    <xf numFmtId="2" fontId="38" fillId="0" borderId="0" xfId="0" applyNumberFormat="1" applyFont="1" applyAlignment="1" applyProtection="1">
      <alignment horizontal="center"/>
      <protection hidden="1"/>
    </xf>
    <xf numFmtId="2" fontId="38" fillId="0" borderId="0" xfId="0" applyNumberFormat="1" applyFont="1" applyAlignment="1" applyProtection="1">
      <alignment horizontal="center"/>
    </xf>
    <xf numFmtId="0" fontId="3" fillId="2" borderId="0" xfId="0" applyFont="1" applyFill="1" applyAlignment="1" applyProtection="1">
      <alignment wrapText="1"/>
    </xf>
    <xf numFmtId="0" fontId="2" fillId="0" borderId="0" xfId="2" applyAlignment="1" applyProtection="1"/>
    <xf numFmtId="0" fontId="24" fillId="0" borderId="0" xfId="0" applyFont="1" applyAlignment="1">
      <alignment horizontal="left" vertical="center"/>
    </xf>
    <xf numFmtId="0" fontId="31" fillId="0" borderId="0" xfId="0" applyFont="1" applyAlignment="1">
      <alignment horizontal="center"/>
    </xf>
    <xf numFmtId="0" fontId="26" fillId="7" borderId="2" xfId="1" applyNumberFormat="1" applyFont="1" applyFill="1" applyBorder="1" applyAlignment="1" applyProtection="1">
      <alignment horizontal="left"/>
      <protection hidden="1"/>
    </xf>
    <xf numFmtId="1" fontId="3" fillId="7" borderId="41" xfId="0" applyNumberFormat="1" applyFont="1" applyFill="1" applyBorder="1" applyAlignment="1" applyProtection="1">
      <alignment horizontal="center" vertical="center"/>
      <protection hidden="1"/>
    </xf>
    <xf numFmtId="0" fontId="0" fillId="0" borderId="0" xfId="0" applyAlignment="1">
      <alignment vertical="top"/>
    </xf>
    <xf numFmtId="0" fontId="52" fillId="0" borderId="0" xfId="0" applyFont="1" applyAlignment="1">
      <alignment horizontal="center" vertical="top" wrapText="1"/>
    </xf>
    <xf numFmtId="0" fontId="0" fillId="0" borderId="0" xfId="0" applyAlignment="1">
      <alignment horizontal="center" vertical="top"/>
    </xf>
    <xf numFmtId="0" fontId="52" fillId="0" borderId="0" xfId="0" applyFont="1" applyAlignment="1">
      <alignment horizontal="left" vertical="top" wrapText="1"/>
    </xf>
    <xf numFmtId="0" fontId="0" fillId="0" borderId="0" xfId="0" applyAlignment="1">
      <alignment horizontal="left" vertical="top" wrapText="1"/>
    </xf>
    <xf numFmtId="3" fontId="4" fillId="7" borderId="34" xfId="0" applyNumberFormat="1" applyFont="1" applyFill="1" applyBorder="1" applyAlignment="1" applyProtection="1">
      <alignment horizontal="center" vertical="center"/>
    </xf>
    <xf numFmtId="3" fontId="4" fillId="7" borderId="27" xfId="0" applyNumberFormat="1" applyFont="1" applyFill="1" applyBorder="1" applyAlignment="1" applyProtection="1">
      <alignment horizontal="center" vertical="center"/>
    </xf>
    <xf numFmtId="1" fontId="4" fillId="8" borderId="34" xfId="0" applyNumberFormat="1" applyFont="1" applyFill="1" applyBorder="1" applyAlignment="1" applyProtection="1">
      <alignment horizontal="center"/>
      <protection locked="0"/>
    </xf>
    <xf numFmtId="1" fontId="4" fillId="8" borderId="27" xfId="0" applyNumberFormat="1" applyFont="1" applyFill="1" applyBorder="1" applyAlignment="1" applyProtection="1">
      <alignment horizontal="center"/>
      <protection locked="0"/>
    </xf>
    <xf numFmtId="0" fontId="4" fillId="0" borderId="51" xfId="0" applyFont="1" applyBorder="1" applyAlignment="1" applyProtection="1">
      <alignment horizontal="right" vertical="center" wrapText="1"/>
    </xf>
    <xf numFmtId="0" fontId="4" fillId="0" borderId="15" xfId="0" applyFont="1" applyBorder="1" applyAlignment="1" applyProtection="1">
      <alignment horizontal="right" vertical="center" wrapText="1"/>
    </xf>
    <xf numFmtId="0" fontId="4" fillId="0" borderId="60" xfId="0" applyFont="1" applyBorder="1" applyAlignment="1" applyProtection="1">
      <alignment horizontal="right" vertical="center" wrapText="1"/>
    </xf>
    <xf numFmtId="2" fontId="4" fillId="7" borderId="2" xfId="0" applyNumberFormat="1" applyFont="1" applyFill="1" applyBorder="1" applyAlignment="1" applyProtection="1">
      <alignment horizontal="center" vertical="center"/>
    </xf>
    <xf numFmtId="0" fontId="4" fillId="8" borderId="34" xfId="0" applyFont="1" applyFill="1" applyBorder="1" applyAlignment="1" applyProtection="1">
      <alignment horizontal="center"/>
      <protection locked="0"/>
    </xf>
    <xf numFmtId="0" fontId="4" fillId="8" borderId="27" xfId="0" applyFont="1" applyFill="1" applyBorder="1" applyAlignment="1" applyProtection="1">
      <alignment horizontal="center"/>
      <protection locked="0"/>
    </xf>
    <xf numFmtId="0" fontId="37" fillId="9" borderId="1" xfId="0" applyFont="1" applyFill="1" applyBorder="1" applyAlignment="1" applyProtection="1">
      <alignment horizontal="center" vertical="center"/>
      <protection locked="0"/>
    </xf>
    <xf numFmtId="0" fontId="37" fillId="12" borderId="26" xfId="0" applyFont="1" applyFill="1" applyBorder="1" applyAlignment="1" applyProtection="1">
      <alignment horizontal="center" vertical="center" wrapText="1"/>
    </xf>
    <xf numFmtId="0" fontId="37" fillId="12" borderId="46" xfId="0" applyFont="1" applyFill="1" applyBorder="1" applyAlignment="1" applyProtection="1">
      <alignment horizontal="center" vertical="center" wrapText="1"/>
    </xf>
    <xf numFmtId="0" fontId="37" fillId="12" borderId="30" xfId="0" applyFont="1" applyFill="1" applyBorder="1" applyAlignment="1" applyProtection="1">
      <alignment horizontal="center" vertical="center" wrapText="1"/>
    </xf>
    <xf numFmtId="0" fontId="4" fillId="6" borderId="8" xfId="0" applyFont="1" applyFill="1" applyBorder="1" applyAlignment="1" applyProtection="1">
      <alignment horizontal="center"/>
    </xf>
    <xf numFmtId="0" fontId="4" fillId="6" borderId="0" xfId="0" applyFont="1" applyFill="1" applyBorder="1" applyAlignment="1" applyProtection="1">
      <alignment horizontal="center"/>
    </xf>
    <xf numFmtId="0" fontId="3" fillId="6" borderId="33" xfId="0" applyFont="1" applyFill="1" applyBorder="1" applyAlignment="1" applyProtection="1">
      <alignment horizontal="center"/>
    </xf>
    <xf numFmtId="0" fontId="37" fillId="8" borderId="52" xfId="0" applyFont="1" applyFill="1" applyBorder="1" applyAlignment="1" applyProtection="1">
      <alignment horizontal="center" vertical="center" wrapText="1"/>
      <protection locked="0"/>
    </xf>
    <xf numFmtId="0" fontId="37" fillId="8" borderId="11" xfId="0" applyFont="1" applyFill="1" applyBorder="1" applyAlignment="1" applyProtection="1">
      <alignment horizontal="center" vertical="center" wrapText="1"/>
      <protection locked="0"/>
    </xf>
    <xf numFmtId="0" fontId="37" fillId="8" borderId="53" xfId="0" applyFont="1" applyFill="1" applyBorder="1" applyAlignment="1" applyProtection="1">
      <alignment horizontal="center" vertical="center" wrapText="1"/>
      <protection locked="0"/>
    </xf>
    <xf numFmtId="0" fontId="4" fillId="0" borderId="8" xfId="0" applyFont="1" applyBorder="1" applyAlignment="1" applyProtection="1">
      <alignment horizontal="right" vertical="center" wrapText="1"/>
    </xf>
    <xf numFmtId="0" fontId="4" fillId="0" borderId="0" xfId="0" applyFont="1" applyBorder="1" applyAlignment="1" applyProtection="1">
      <alignment horizontal="right" vertical="center" wrapText="1"/>
    </xf>
    <xf numFmtId="0" fontId="4" fillId="0" borderId="33" xfId="0" applyFont="1" applyBorder="1" applyAlignment="1" applyProtection="1">
      <alignment horizontal="right" vertical="center" wrapText="1"/>
    </xf>
    <xf numFmtId="164" fontId="4" fillId="6" borderId="58" xfId="0" applyNumberFormat="1" applyFont="1" applyFill="1" applyBorder="1" applyAlignment="1" applyProtection="1">
      <alignment horizontal="center" vertical="center"/>
      <protection locked="0"/>
    </xf>
    <xf numFmtId="164" fontId="4" fillId="6" borderId="21" xfId="0" applyNumberFormat="1" applyFont="1" applyFill="1" applyBorder="1" applyAlignment="1" applyProtection="1">
      <alignment horizontal="center" vertical="center"/>
      <protection locked="0"/>
    </xf>
    <xf numFmtId="164" fontId="4" fillId="6" borderId="59" xfId="0" applyNumberFormat="1" applyFont="1" applyFill="1" applyBorder="1" applyAlignment="1" applyProtection="1">
      <alignment horizontal="center" vertical="center"/>
      <protection locked="0"/>
    </xf>
    <xf numFmtId="0" fontId="37" fillId="9" borderId="32" xfId="0" applyFont="1" applyFill="1" applyBorder="1" applyAlignment="1" applyProtection="1">
      <alignment horizontal="center" vertical="center"/>
      <protection locked="0"/>
    </xf>
    <xf numFmtId="0" fontId="37" fillId="9" borderId="2" xfId="0" applyFont="1" applyFill="1" applyBorder="1" applyAlignment="1" applyProtection="1">
      <alignment horizontal="center" vertical="center"/>
      <protection locked="0"/>
    </xf>
    <xf numFmtId="0" fontId="4" fillId="6" borderId="26" xfId="0" applyFont="1" applyFill="1" applyBorder="1" applyAlignment="1" applyProtection="1">
      <alignment horizontal="center"/>
    </xf>
    <xf numFmtId="0" fontId="0" fillId="0" borderId="46" xfId="0" applyBorder="1" applyAlignment="1"/>
    <xf numFmtId="0" fontId="38" fillId="6" borderId="55" xfId="0" applyFont="1" applyFill="1" applyBorder="1" applyAlignment="1" applyProtection="1">
      <alignment horizontal="center" vertical="center" wrapText="1"/>
    </xf>
    <xf numFmtId="0" fontId="38" fillId="6" borderId="26" xfId="0" applyFont="1" applyFill="1" applyBorder="1" applyAlignment="1" applyProtection="1">
      <alignment horizontal="center" vertical="center" wrapText="1"/>
    </xf>
    <xf numFmtId="1" fontId="38" fillId="6" borderId="43" xfId="0" applyNumberFormat="1" applyFont="1" applyFill="1" applyBorder="1" applyAlignment="1" applyProtection="1">
      <alignment horizontal="right" vertical="center"/>
    </xf>
    <xf numFmtId="1" fontId="38" fillId="6" borderId="46" xfId="0" applyNumberFormat="1" applyFont="1" applyFill="1" applyBorder="1" applyAlignment="1" applyProtection="1">
      <alignment horizontal="right" vertical="center"/>
    </xf>
    <xf numFmtId="0" fontId="38" fillId="6" borderId="56" xfId="0" applyFont="1" applyFill="1" applyBorder="1" applyAlignment="1" applyProtection="1">
      <alignment horizontal="left" vertical="center"/>
    </xf>
    <xf numFmtId="0" fontId="38" fillId="6" borderId="30" xfId="0" applyFont="1" applyFill="1" applyBorder="1" applyAlignment="1" applyProtection="1">
      <alignment horizontal="left" vertical="center"/>
    </xf>
    <xf numFmtId="0" fontId="44" fillId="0" borderId="8" xfId="0" applyFont="1" applyBorder="1" applyAlignment="1" applyProtection="1">
      <alignment horizontal="center" vertical="center" wrapText="1"/>
    </xf>
    <xf numFmtId="0" fontId="44" fillId="0" borderId="0" xfId="0" applyFont="1" applyBorder="1" applyAlignment="1" applyProtection="1">
      <alignment horizontal="center" vertical="center" wrapText="1"/>
    </xf>
    <xf numFmtId="0" fontId="44" fillId="0" borderId="33" xfId="0" applyFont="1" applyBorder="1" applyAlignment="1" applyProtection="1">
      <alignment horizontal="center" vertical="center" wrapText="1"/>
    </xf>
    <xf numFmtId="0" fontId="4" fillId="6" borderId="2" xfId="0" applyFont="1" applyFill="1" applyBorder="1" applyAlignment="1" applyProtection="1">
      <alignment horizontal="left" vertical="center" wrapText="1"/>
    </xf>
    <xf numFmtId="3" fontId="4" fillId="7" borderId="5" xfId="0" applyNumberFormat="1" applyFont="1" applyFill="1" applyBorder="1" applyAlignment="1" applyProtection="1">
      <alignment horizontal="center" vertical="center"/>
    </xf>
    <xf numFmtId="3" fontId="4" fillId="7" borderId="23" xfId="0" applyNumberFormat="1" applyFont="1" applyFill="1" applyBorder="1" applyAlignment="1" applyProtection="1">
      <alignment horizontal="center" vertical="center"/>
    </xf>
    <xf numFmtId="3" fontId="4" fillId="7" borderId="8" xfId="0" applyNumberFormat="1" applyFont="1" applyFill="1" applyBorder="1" applyAlignment="1" applyProtection="1">
      <alignment horizontal="center" vertical="center"/>
    </xf>
    <xf numFmtId="3" fontId="4" fillId="7" borderId="33" xfId="0" applyNumberFormat="1" applyFont="1" applyFill="1" applyBorder="1" applyAlignment="1" applyProtection="1">
      <alignment horizontal="center" vertical="center"/>
    </xf>
    <xf numFmtId="3" fontId="4" fillId="7" borderId="26" xfId="0" applyNumberFormat="1" applyFont="1" applyFill="1" applyBorder="1" applyAlignment="1" applyProtection="1">
      <alignment horizontal="center" vertical="center"/>
    </xf>
    <xf numFmtId="3" fontId="4" fillId="7" borderId="30" xfId="0" applyNumberFormat="1" applyFont="1" applyFill="1" applyBorder="1" applyAlignment="1" applyProtection="1">
      <alignment horizontal="center" vertical="center"/>
    </xf>
    <xf numFmtId="0" fontId="37" fillId="12" borderId="35" xfId="0" applyFont="1" applyFill="1" applyBorder="1" applyAlignment="1" applyProtection="1">
      <alignment horizontal="center" vertical="center" wrapText="1"/>
    </xf>
    <xf numFmtId="0" fontId="37" fillId="12" borderId="13" xfId="0" applyFont="1" applyFill="1" applyBorder="1" applyAlignment="1" applyProtection="1">
      <alignment horizontal="center" vertical="center" wrapText="1"/>
    </xf>
    <xf numFmtId="0" fontId="37" fillId="12" borderId="57" xfId="0" applyFont="1" applyFill="1" applyBorder="1" applyAlignment="1" applyProtection="1">
      <alignment horizontal="center" vertical="center" wrapText="1"/>
    </xf>
    <xf numFmtId="3" fontId="4" fillId="7" borderId="34" xfId="0" quotePrefix="1" applyNumberFormat="1" applyFont="1" applyFill="1" applyBorder="1" applyAlignment="1" applyProtection="1">
      <alignment horizontal="center" vertical="center"/>
    </xf>
    <xf numFmtId="3" fontId="4" fillId="7" borderId="27" xfId="0" quotePrefix="1" applyNumberFormat="1" applyFont="1" applyFill="1" applyBorder="1" applyAlignment="1" applyProtection="1">
      <alignment horizontal="center" vertical="center"/>
    </xf>
    <xf numFmtId="3" fontId="4" fillId="7" borderId="51" xfId="0" applyNumberFormat="1" applyFont="1" applyFill="1" applyBorder="1" applyAlignment="1" applyProtection="1">
      <alignment horizontal="right" vertical="center"/>
    </xf>
    <xf numFmtId="0" fontId="0" fillId="0" borderId="15" xfId="0" applyBorder="1" applyAlignment="1">
      <alignment vertical="center"/>
    </xf>
    <xf numFmtId="0" fontId="42" fillId="0" borderId="0" xfId="0" applyFont="1" applyBorder="1" applyAlignment="1" applyProtection="1">
      <alignment horizontal="center" wrapText="1"/>
    </xf>
    <xf numFmtId="9" fontId="4" fillId="7" borderId="34" xfId="4" applyFont="1" applyFill="1" applyBorder="1" applyAlignment="1" applyProtection="1">
      <alignment horizontal="center"/>
    </xf>
    <xf numFmtId="9" fontId="4" fillId="7" borderId="3" xfId="4" applyFont="1" applyFill="1" applyBorder="1" applyAlignment="1" applyProtection="1">
      <alignment horizontal="center"/>
    </xf>
    <xf numFmtId="9" fontId="4" fillId="7" borderId="27" xfId="4" applyFont="1" applyFill="1" applyBorder="1" applyAlignment="1" applyProtection="1">
      <alignment horizontal="center"/>
    </xf>
    <xf numFmtId="164" fontId="4" fillId="6" borderId="34" xfId="0" applyNumberFormat="1" applyFont="1" applyFill="1" applyBorder="1" applyAlignment="1" applyProtection="1">
      <alignment horizontal="center"/>
      <protection locked="0"/>
    </xf>
    <xf numFmtId="0" fontId="3" fillId="0" borderId="3" xfId="0" applyFont="1" applyBorder="1" applyAlignment="1">
      <alignment horizontal="center"/>
    </xf>
    <xf numFmtId="0" fontId="3" fillId="0" borderId="27" xfId="0" applyFont="1" applyBorder="1" applyAlignment="1">
      <alignment horizontal="center"/>
    </xf>
    <xf numFmtId="2" fontId="4" fillId="7" borderId="34" xfId="0" applyNumberFormat="1" applyFont="1" applyFill="1" applyBorder="1" applyAlignment="1" applyProtection="1">
      <alignment horizontal="center"/>
    </xf>
    <xf numFmtId="0" fontId="3" fillId="0" borderId="4" xfId="0" applyFont="1" applyFill="1" applyBorder="1" applyAlignment="1" applyProtection="1">
      <alignment horizontal="left" vertical="center" wrapText="1"/>
    </xf>
    <xf numFmtId="0" fontId="3" fillId="0" borderId="1" xfId="0" applyFont="1" applyFill="1" applyBorder="1" applyAlignment="1" applyProtection="1">
      <alignment horizontal="left" vertical="center" wrapText="1"/>
    </xf>
    <xf numFmtId="0" fontId="37" fillId="12" borderId="54" xfId="0" applyFont="1" applyFill="1" applyBorder="1" applyAlignment="1" applyProtection="1">
      <alignment horizontal="center" vertical="center" wrapText="1"/>
    </xf>
    <xf numFmtId="0" fontId="0" fillId="0" borderId="46" xfId="0" applyBorder="1" applyAlignment="1">
      <alignment horizontal="center" vertical="center" wrapText="1"/>
    </xf>
    <xf numFmtId="0" fontId="37" fillId="8" borderId="2" xfId="0" applyFont="1" applyFill="1" applyBorder="1" applyAlignment="1" applyProtection="1">
      <alignment horizontal="center" vertical="center"/>
      <protection locked="0"/>
    </xf>
    <xf numFmtId="2" fontId="0" fillId="7" borderId="3" xfId="0" applyNumberFormat="1" applyFill="1" applyBorder="1" applyAlignment="1">
      <alignment horizontal="center"/>
    </xf>
    <xf numFmtId="2" fontId="0" fillId="7" borderId="27" xfId="0" applyNumberFormat="1" applyFill="1" applyBorder="1" applyAlignment="1">
      <alignment horizontal="center"/>
    </xf>
    <xf numFmtId="2" fontId="4" fillId="7" borderId="0" xfId="0" applyNumberFormat="1" applyFont="1" applyFill="1" applyBorder="1" applyAlignment="1" applyProtection="1">
      <alignment horizontal="left" vertical="center"/>
    </xf>
    <xf numFmtId="0" fontId="0" fillId="0" borderId="0" xfId="0" applyAlignment="1"/>
    <xf numFmtId="1" fontId="4" fillId="0" borderId="4" xfId="0" applyNumberFormat="1" applyFont="1" applyFill="1" applyBorder="1" applyAlignment="1" applyProtection="1">
      <alignment horizontal="center" vertical="center"/>
    </xf>
    <xf numFmtId="1" fontId="4" fillId="0" borderId="25" xfId="0" applyNumberFormat="1" applyFont="1" applyFill="1" applyBorder="1" applyAlignment="1" applyProtection="1">
      <alignment horizontal="center" vertical="center"/>
    </xf>
    <xf numFmtId="1" fontId="4" fillId="0" borderId="1" xfId="0" applyNumberFormat="1" applyFont="1" applyFill="1" applyBorder="1" applyAlignment="1" applyProtection="1">
      <alignment horizontal="center" vertical="center"/>
    </xf>
    <xf numFmtId="2" fontId="4" fillId="7" borderId="47" xfId="0" applyNumberFormat="1" applyFont="1" applyFill="1" applyBorder="1" applyAlignment="1" applyProtection="1">
      <alignment horizontal="left" vertical="center"/>
    </xf>
    <xf numFmtId="0" fontId="0" fillId="0" borderId="47" xfId="0" applyBorder="1" applyAlignment="1"/>
    <xf numFmtId="3" fontId="4" fillId="7" borderId="48" xfId="0" applyNumberFormat="1" applyFont="1" applyFill="1" applyBorder="1" applyAlignment="1" applyProtection="1">
      <alignment horizontal="right" vertical="center"/>
    </xf>
    <xf numFmtId="0" fontId="0" fillId="0" borderId="49" xfId="0" applyBorder="1" applyAlignment="1">
      <alignment horizontal="right" vertical="center"/>
    </xf>
    <xf numFmtId="0" fontId="3" fillId="7" borderId="6" xfId="0" applyFont="1" applyFill="1" applyBorder="1" applyAlignment="1" applyProtection="1"/>
    <xf numFmtId="0" fontId="0" fillId="0" borderId="6" xfId="0" applyBorder="1" applyAlignment="1"/>
    <xf numFmtId="1" fontId="4" fillId="7" borderId="13" xfId="0" applyNumberFormat="1" applyFont="1" applyFill="1" applyBorder="1" applyAlignment="1" applyProtection="1">
      <alignment horizontal="right" vertical="center"/>
    </xf>
    <xf numFmtId="1" fontId="0" fillId="0" borderId="13" xfId="0" applyNumberFormat="1" applyBorder="1" applyAlignment="1">
      <alignment horizontal="right" vertical="center"/>
    </xf>
    <xf numFmtId="3" fontId="4" fillId="7" borderId="50" xfId="0" applyNumberFormat="1" applyFont="1" applyFill="1" applyBorder="1" applyAlignment="1" applyProtection="1">
      <alignment horizontal="right" vertical="center"/>
    </xf>
    <xf numFmtId="0" fontId="0" fillId="0" borderId="50" xfId="0" applyBorder="1" applyAlignment="1">
      <alignment vertical="center"/>
    </xf>
    <xf numFmtId="3" fontId="4" fillId="7" borderId="34" xfId="0" applyNumberFormat="1" applyFont="1" applyFill="1" applyBorder="1" applyAlignment="1" applyProtection="1">
      <alignment horizontal="center"/>
    </xf>
    <xf numFmtId="0" fontId="0" fillId="0" borderId="3" xfId="0" applyBorder="1" applyAlignment="1">
      <alignment horizontal="center"/>
    </xf>
    <xf numFmtId="0" fontId="0" fillId="0" borderId="27" xfId="0" applyBorder="1" applyAlignment="1">
      <alignment horizontal="center"/>
    </xf>
    <xf numFmtId="2" fontId="4" fillId="7" borderId="2" xfId="0" applyNumberFormat="1" applyFont="1" applyFill="1" applyBorder="1" applyAlignment="1" applyProtection="1">
      <alignment horizontal="center"/>
    </xf>
    <xf numFmtId="3" fontId="4" fillId="7" borderId="35" xfId="0" applyNumberFormat="1" applyFont="1" applyFill="1" applyBorder="1" applyAlignment="1" applyProtection="1">
      <alignment horizontal="right" vertical="center"/>
    </xf>
    <xf numFmtId="0" fontId="0" fillId="0" borderId="13" xfId="0" applyBorder="1" applyAlignment="1">
      <alignment vertical="center"/>
    </xf>
    <xf numFmtId="2" fontId="4" fillId="7" borderId="5" xfId="0" applyNumberFormat="1" applyFont="1" applyFill="1" applyBorder="1" applyAlignment="1" applyProtection="1">
      <alignment horizontal="center"/>
    </xf>
    <xf numFmtId="2" fontId="4" fillId="7" borderId="46" xfId="0" applyNumberFormat="1" applyFont="1" applyFill="1" applyBorder="1" applyAlignment="1" applyProtection="1">
      <alignment horizontal="left" vertical="center"/>
    </xf>
    <xf numFmtId="0" fontId="0" fillId="7" borderId="46" xfId="0" applyFill="1" applyBorder="1" applyAlignment="1">
      <alignment horizontal="left" vertical="center"/>
    </xf>
    <xf numFmtId="0" fontId="0" fillId="0" borderId="30" xfId="0" applyBorder="1" applyAlignment="1">
      <alignment vertical="center"/>
    </xf>
    <xf numFmtId="2" fontId="4" fillId="0" borderId="19" xfId="0" applyNumberFormat="1" applyFont="1" applyFill="1" applyBorder="1" applyAlignment="1" applyProtection="1">
      <alignment horizontal="center"/>
    </xf>
    <xf numFmtId="2" fontId="4" fillId="0" borderId="0" xfId="0" applyNumberFormat="1" applyFont="1" applyFill="1" applyBorder="1" applyAlignment="1" applyProtection="1">
      <alignment horizontal="center"/>
    </xf>
    <xf numFmtId="0" fontId="4" fillId="8" borderId="5" xfId="0" applyFont="1" applyFill="1" applyBorder="1" applyAlignment="1" applyProtection="1">
      <alignment horizontal="center"/>
      <protection locked="0"/>
    </xf>
    <xf numFmtId="0" fontId="4" fillId="8" borderId="23" xfId="0" applyFont="1" applyFill="1" applyBorder="1" applyAlignment="1" applyProtection="1">
      <alignment horizontal="center"/>
      <protection locked="0"/>
    </xf>
    <xf numFmtId="0" fontId="4" fillId="0" borderId="46" xfId="0" applyFont="1" applyFill="1" applyBorder="1" applyAlignment="1" applyProtection="1">
      <alignment horizontal="center"/>
    </xf>
    <xf numFmtId="0" fontId="4" fillId="0" borderId="26" xfId="0" applyFont="1" applyFill="1" applyBorder="1" applyAlignment="1" applyProtection="1">
      <alignment horizontal="center"/>
    </xf>
    <xf numFmtId="0" fontId="4" fillId="8" borderId="2" xfId="0" applyFont="1" applyFill="1" applyBorder="1" applyAlignment="1" applyProtection="1">
      <alignment horizontal="center" vertical="center"/>
      <protection locked="0"/>
    </xf>
    <xf numFmtId="0" fontId="4" fillId="7" borderId="44" xfId="0" applyFont="1" applyFill="1" applyBorder="1" applyAlignment="1">
      <alignment horizontal="center" vertical="center" wrapText="1"/>
    </xf>
    <xf numFmtId="0" fontId="4" fillId="7" borderId="45" xfId="0" applyFont="1" applyFill="1" applyBorder="1" applyAlignment="1">
      <alignment horizontal="center" vertical="center" wrapText="1"/>
    </xf>
    <xf numFmtId="0" fontId="37" fillId="12" borderId="2" xfId="0" applyFont="1" applyFill="1" applyBorder="1" applyAlignment="1" applyProtection="1">
      <alignment horizontal="center" vertical="center" wrapText="1"/>
    </xf>
    <xf numFmtId="0" fontId="0" fillId="0" borderId="3" xfId="0" applyBorder="1" applyAlignment="1"/>
    <xf numFmtId="0" fontId="4" fillId="6" borderId="34" xfId="0" applyFont="1" applyFill="1" applyBorder="1" applyAlignment="1" applyProtection="1">
      <alignment horizontal="center"/>
    </xf>
    <xf numFmtId="0" fontId="4" fillId="6" borderId="27" xfId="0" applyFont="1" applyFill="1" applyBorder="1" applyAlignment="1" applyProtection="1">
      <alignment horizontal="center"/>
    </xf>
    <xf numFmtId="164" fontId="4" fillId="6" borderId="2" xfId="0" applyNumberFormat="1" applyFont="1" applyFill="1" applyBorder="1" applyAlignment="1" applyProtection="1">
      <alignment horizontal="center" vertical="center"/>
      <protection locked="0"/>
    </xf>
    <xf numFmtId="0" fontId="37" fillId="8" borderId="36" xfId="0" applyFont="1" applyFill="1" applyBorder="1" applyAlignment="1" applyProtection="1">
      <alignment horizontal="center" vertical="center" wrapText="1"/>
      <protection locked="0"/>
    </xf>
    <xf numFmtId="0" fontId="37" fillId="8" borderId="29" xfId="0" applyFont="1" applyFill="1" applyBorder="1" applyAlignment="1" applyProtection="1">
      <alignment horizontal="center" vertical="center" wrapText="1"/>
      <protection locked="0"/>
    </xf>
    <xf numFmtId="2" fontId="4" fillId="7" borderId="43" xfId="0" applyNumberFormat="1" applyFont="1" applyFill="1" applyBorder="1" applyAlignment="1" applyProtection="1">
      <alignment horizontal="left" vertical="center"/>
    </xf>
    <xf numFmtId="0" fontId="0" fillId="0" borderId="43" xfId="0" applyBorder="1" applyAlignment="1"/>
    <xf numFmtId="2" fontId="4" fillId="7" borderId="32" xfId="0" applyNumberFormat="1" applyFont="1" applyFill="1" applyBorder="1" applyAlignment="1" applyProtection="1">
      <alignment horizontal="center"/>
    </xf>
    <xf numFmtId="2" fontId="3" fillId="0" borderId="3" xfId="0" applyNumberFormat="1" applyFont="1" applyBorder="1" applyAlignment="1" applyProtection="1">
      <alignment horizontal="center"/>
      <protection hidden="1"/>
    </xf>
    <xf numFmtId="0" fontId="3" fillId="0" borderId="21" xfId="0" applyFont="1" applyBorder="1" applyAlignment="1" applyProtection="1">
      <alignment horizontal="left" wrapText="1"/>
      <protection hidden="1"/>
    </xf>
    <xf numFmtId="0" fontId="3" fillId="13" borderId="44" xfId="0" applyFont="1" applyFill="1" applyBorder="1" applyAlignment="1" applyProtection="1">
      <alignment horizontal="left" vertical="top" wrapText="1"/>
      <protection hidden="1"/>
    </xf>
    <xf numFmtId="0" fontId="0" fillId="13" borderId="45" xfId="0" applyFill="1" applyBorder="1" applyAlignment="1">
      <alignment horizontal="left" vertical="top" wrapText="1"/>
    </xf>
    <xf numFmtId="0" fontId="0" fillId="13" borderId="31" xfId="0" applyFill="1" applyBorder="1" applyAlignment="1">
      <alignment horizontal="left" vertical="top" wrapText="1"/>
    </xf>
    <xf numFmtId="2" fontId="3" fillId="0" borderId="0" xfId="0" applyNumberFormat="1" applyFont="1" applyAlignment="1" applyProtection="1">
      <alignment wrapText="1"/>
      <protection hidden="1"/>
    </xf>
    <xf numFmtId="0" fontId="3" fillId="0" borderId="3" xfId="0" applyFont="1" applyBorder="1" applyAlignment="1" applyProtection="1">
      <alignment horizontal="left" wrapText="1"/>
      <protection hidden="1"/>
    </xf>
    <xf numFmtId="0" fontId="7" fillId="0" borderId="3" xfId="0" applyFont="1" applyBorder="1" applyAlignment="1" applyProtection="1">
      <alignment horizontal="left"/>
      <protection hidden="1"/>
    </xf>
    <xf numFmtId="0" fontId="3" fillId="0" borderId="17" xfId="0" applyFont="1" applyFill="1" applyBorder="1" applyAlignment="1" applyProtection="1">
      <alignment horizontal="left" wrapText="1"/>
      <protection hidden="1"/>
    </xf>
    <xf numFmtId="0" fontId="7" fillId="0" borderId="3" xfId="0" applyFont="1" applyBorder="1" applyAlignment="1" applyProtection="1">
      <alignment horizontal="left" wrapText="1"/>
      <protection hidden="1"/>
    </xf>
    <xf numFmtId="2" fontId="3" fillId="0" borderId="17" xfId="0" applyNumberFormat="1" applyFont="1" applyFill="1" applyBorder="1" applyAlignment="1" applyProtection="1">
      <alignment horizontal="left" vertical="center" wrapText="1"/>
      <protection hidden="1"/>
    </xf>
    <xf numFmtId="2" fontId="3" fillId="0" borderId="3" xfId="0" applyNumberFormat="1" applyFont="1" applyFill="1" applyBorder="1" applyAlignment="1" applyProtection="1">
      <alignment horizontal="left" vertical="center" wrapText="1"/>
      <protection hidden="1"/>
    </xf>
    <xf numFmtId="2" fontId="3" fillId="0" borderId="46" xfId="0" applyNumberFormat="1" applyFont="1" applyFill="1" applyBorder="1" applyAlignment="1" applyProtection="1">
      <alignment horizontal="left" vertical="center" wrapText="1"/>
      <protection hidden="1"/>
    </xf>
    <xf numFmtId="2" fontId="3" fillId="0" borderId="30" xfId="0" applyNumberFormat="1" applyFont="1" applyFill="1" applyBorder="1" applyAlignment="1" applyProtection="1">
      <alignment vertical="center" wrapText="1"/>
      <protection hidden="1"/>
    </xf>
    <xf numFmtId="0" fontId="1" fillId="0" borderId="3" xfId="0" applyFont="1" applyBorder="1" applyAlignment="1" applyProtection="1">
      <alignment horizontal="left" wrapText="1"/>
      <protection hidden="1"/>
    </xf>
    <xf numFmtId="0" fontId="3" fillId="0" borderId="34" xfId="0" applyFont="1" applyBorder="1" applyAlignment="1">
      <alignment horizontal="center" wrapText="1"/>
    </xf>
    <xf numFmtId="0" fontId="3" fillId="0" borderId="3" xfId="0" applyFont="1" applyBorder="1" applyAlignment="1">
      <alignment horizontal="center" wrapText="1"/>
    </xf>
    <xf numFmtId="0" fontId="3" fillId="0" borderId="27" xfId="0" applyFont="1" applyBorder="1" applyAlignment="1">
      <alignment horizontal="center" wrapText="1"/>
    </xf>
    <xf numFmtId="0" fontId="3" fillId="0" borderId="34" xfId="0" applyFont="1" applyBorder="1" applyAlignment="1">
      <alignment horizontal="left" wrapText="1"/>
    </xf>
    <xf numFmtId="0" fontId="3" fillId="0" borderId="3" xfId="0" applyFont="1" applyBorder="1" applyAlignment="1">
      <alignment horizontal="left" wrapText="1"/>
    </xf>
    <xf numFmtId="0" fontId="3" fillId="0" borderId="27" xfId="0" applyFont="1" applyBorder="1" applyAlignment="1">
      <alignment horizontal="left" wrapText="1"/>
    </xf>
    <xf numFmtId="0" fontId="3" fillId="0" borderId="0" xfId="0" applyFont="1" applyAlignment="1">
      <alignment horizontal="left" wrapText="1"/>
    </xf>
    <xf numFmtId="0" fontId="3" fillId="0" borderId="2" xfId="0" applyFont="1" applyBorder="1" applyAlignment="1">
      <alignment horizontal="left" wrapText="1"/>
    </xf>
    <xf numFmtId="0" fontId="4" fillId="0" borderId="2" xfId="0" applyFont="1" applyBorder="1" applyAlignment="1">
      <alignment horizontal="center" wrapText="1"/>
    </xf>
    <xf numFmtId="0" fontId="3" fillId="0" borderId="2" xfId="0" applyFont="1" applyBorder="1" applyAlignment="1">
      <alignment horizontal="center" wrapText="1"/>
    </xf>
    <xf numFmtId="0" fontId="3" fillId="8" borderId="2" xfId="0" applyNumberFormat="1" applyFont="1" applyFill="1" applyBorder="1" applyAlignment="1" applyProtection="1">
      <alignment horizontal="center" vertical="center"/>
      <protection locked="0"/>
    </xf>
    <xf numFmtId="0" fontId="7" fillId="8" borderId="2" xfId="0" applyNumberFormat="1" applyFont="1" applyFill="1" applyBorder="1" applyAlignment="1" applyProtection="1">
      <alignment horizontal="center" vertical="center"/>
      <protection locked="0"/>
    </xf>
    <xf numFmtId="0" fontId="3" fillId="8" borderId="2" xfId="4" applyNumberFormat="1" applyFont="1" applyFill="1" applyBorder="1" applyAlignment="1" applyProtection="1">
      <alignment horizontal="center" vertical="center"/>
      <protection locked="0"/>
    </xf>
    <xf numFmtId="0" fontId="7" fillId="8" borderId="2" xfId="4" applyNumberFormat="1" applyFont="1" applyFill="1" applyBorder="1" applyAlignment="1" applyProtection="1">
      <alignment horizontal="center" vertical="center"/>
      <protection locked="0"/>
    </xf>
    <xf numFmtId="0" fontId="20" fillId="0" borderId="2" xfId="2" applyFont="1" applyBorder="1" applyAlignment="1" applyProtection="1">
      <alignment horizontal="center"/>
    </xf>
    <xf numFmtId="0" fontId="3" fillId="0" borderId="34" xfId="0" applyFont="1" applyBorder="1" applyAlignment="1">
      <alignment horizontal="left" vertical="center" wrapText="1"/>
    </xf>
    <xf numFmtId="0" fontId="0" fillId="0" borderId="3" xfId="0" applyBorder="1" applyAlignment="1">
      <alignment horizontal="left" vertical="center" wrapText="1"/>
    </xf>
    <xf numFmtId="0" fontId="0" fillId="0" borderId="27" xfId="0" applyBorder="1" applyAlignment="1">
      <alignment horizontal="left" vertical="center" wrapText="1"/>
    </xf>
    <xf numFmtId="0" fontId="3" fillId="0" borderId="35" xfId="0" applyFont="1" applyBorder="1" applyAlignment="1">
      <alignment horizontal="left" vertical="center" wrapText="1"/>
    </xf>
    <xf numFmtId="0" fontId="3" fillId="0" borderId="13" xfId="0" applyFont="1" applyBorder="1" applyAlignment="1">
      <alignment horizontal="left" vertical="center" wrapText="1"/>
    </xf>
    <xf numFmtId="0" fontId="3" fillId="0" borderId="57" xfId="0" applyFont="1" applyBorder="1" applyAlignment="1">
      <alignment horizontal="left" vertical="center" wrapText="1"/>
    </xf>
    <xf numFmtId="0" fontId="3" fillId="0" borderId="17" xfId="0" applyFont="1" applyBorder="1" applyAlignment="1" applyProtection="1">
      <alignment horizontal="left" vertical="center" wrapText="1"/>
      <protection hidden="1"/>
    </xf>
    <xf numFmtId="0" fontId="3" fillId="0" borderId="0" xfId="0" applyFont="1" applyAlignment="1" applyProtection="1">
      <alignment wrapText="1"/>
      <protection hidden="1"/>
    </xf>
    <xf numFmtId="0" fontId="4" fillId="0" borderId="15" xfId="0" applyFont="1" applyBorder="1" applyAlignment="1" applyProtection="1">
      <alignment horizontal="center" wrapText="1"/>
      <protection hidden="1"/>
    </xf>
    <xf numFmtId="0" fontId="3" fillId="0" borderId="15" xfId="0" applyFont="1" applyBorder="1" applyAlignment="1" applyProtection="1">
      <alignment horizontal="center" wrapText="1"/>
      <protection hidden="1"/>
    </xf>
    <xf numFmtId="0" fontId="3" fillId="0" borderId="54" xfId="0" applyFont="1" applyBorder="1" applyAlignment="1" applyProtection="1">
      <alignment horizontal="left" wrapText="1"/>
      <protection hidden="1"/>
    </xf>
    <xf numFmtId="0" fontId="3" fillId="0" borderId="46" xfId="0" applyFont="1" applyBorder="1" applyAlignment="1" applyProtection="1">
      <alignment horizontal="left" wrapText="1"/>
      <protection hidden="1"/>
    </xf>
    <xf numFmtId="0" fontId="3" fillId="0" borderId="44" xfId="0" applyFont="1" applyBorder="1" applyAlignment="1" applyProtection="1">
      <alignment horizontal="left" vertical="center" wrapText="1"/>
      <protection hidden="1"/>
    </xf>
    <xf numFmtId="0" fontId="3" fillId="0" borderId="45" xfId="0" applyFont="1" applyBorder="1" applyAlignment="1" applyProtection="1">
      <alignment horizontal="left" vertical="center" wrapText="1"/>
      <protection hidden="1"/>
    </xf>
    <xf numFmtId="0" fontId="3" fillId="0" borderId="31" xfId="0" applyFont="1" applyBorder="1" applyAlignment="1" applyProtection="1">
      <alignment horizontal="left" vertical="center" wrapText="1"/>
      <protection hidden="1"/>
    </xf>
    <xf numFmtId="0" fontId="2" fillId="0" borderId="2" xfId="2" applyBorder="1" applyAlignment="1" applyProtection="1">
      <alignment horizontal="center"/>
    </xf>
    <xf numFmtId="0" fontId="3" fillId="0" borderId="0" xfId="0" applyFont="1" applyAlignment="1" applyProtection="1">
      <alignment wrapText="1"/>
    </xf>
    <xf numFmtId="0" fontId="4" fillId="0" borderId="15" xfId="0" applyFont="1" applyBorder="1" applyAlignment="1" applyProtection="1">
      <alignment horizontal="center" wrapText="1"/>
    </xf>
    <xf numFmtId="0" fontId="3" fillId="0" borderId="15" xfId="0" applyFont="1" applyBorder="1" applyAlignment="1" applyProtection="1">
      <alignment horizontal="center" wrapText="1"/>
    </xf>
    <xf numFmtId="0" fontId="3" fillId="0" borderId="16" xfId="0" applyFont="1" applyBorder="1" applyAlignment="1" applyProtection="1">
      <alignment horizontal="center" wrapText="1"/>
    </xf>
    <xf numFmtId="0" fontId="3" fillId="0" borderId="12" xfId="0" applyFont="1" applyBorder="1" applyAlignment="1" applyProtection="1">
      <alignment horizontal="left" vertical="center" wrapText="1"/>
    </xf>
    <xf numFmtId="0" fontId="3" fillId="0" borderId="13" xfId="0" applyFont="1" applyBorder="1" applyAlignment="1" applyProtection="1">
      <alignment horizontal="left" vertical="center" wrapText="1"/>
    </xf>
    <xf numFmtId="0" fontId="3" fillId="0" borderId="57" xfId="0" applyFont="1" applyBorder="1" applyAlignment="1" applyProtection="1">
      <alignment horizontal="left" vertical="center" wrapText="1"/>
    </xf>
    <xf numFmtId="0" fontId="3" fillId="0" borderId="17" xfId="0" applyFont="1" applyBorder="1" applyAlignment="1" applyProtection="1">
      <alignment horizontal="left" vertical="center" wrapText="1"/>
    </xf>
    <xf numFmtId="0" fontId="3" fillId="0" borderId="3" xfId="0" applyFont="1" applyBorder="1" applyAlignment="1" applyProtection="1">
      <alignment horizontal="left" vertical="center" wrapText="1"/>
    </xf>
    <xf numFmtId="0" fontId="3" fillId="0" borderId="27" xfId="0" applyFont="1" applyBorder="1" applyAlignment="1" applyProtection="1">
      <alignment horizontal="left" vertical="center" wrapText="1"/>
    </xf>
    <xf numFmtId="0" fontId="3" fillId="0" borderId="0" xfId="0" applyFont="1" applyBorder="1" applyAlignment="1" applyProtection="1">
      <alignment horizontal="left" wrapText="1"/>
    </xf>
    <xf numFmtId="0" fontId="3" fillId="0" borderId="34" xfId="0" applyFont="1" applyBorder="1" applyAlignment="1" applyProtection="1">
      <alignment horizontal="left" vertical="center" wrapText="1"/>
    </xf>
    <xf numFmtId="49" fontId="3" fillId="0" borderId="2" xfId="0" applyNumberFormat="1" applyFont="1" applyBorder="1" applyAlignment="1" applyProtection="1">
      <alignment horizontal="center" vertical="top" wrapText="1"/>
    </xf>
    <xf numFmtId="0" fontId="3" fillId="0" borderId="2" xfId="0" applyFont="1" applyBorder="1" applyAlignment="1" applyProtection="1">
      <alignment horizontal="left" vertical="center" wrapText="1"/>
    </xf>
    <xf numFmtId="0" fontId="3" fillId="0" borderId="0" xfId="0" applyFont="1" applyAlignment="1" applyProtection="1">
      <alignment horizontal="left" wrapText="1"/>
    </xf>
    <xf numFmtId="0" fontId="4" fillId="0" borderId="2" xfId="0" applyFont="1" applyBorder="1" applyAlignment="1" applyProtection="1">
      <alignment horizontal="center" wrapText="1"/>
    </xf>
    <xf numFmtId="0" fontId="3" fillId="0" borderId="2" xfId="0" applyFont="1" applyBorder="1" applyAlignment="1" applyProtection="1">
      <alignment horizontal="center" wrapText="1"/>
    </xf>
    <xf numFmtId="165" fontId="3" fillId="8" borderId="2" xfId="0" applyNumberFormat="1" applyFont="1" applyFill="1" applyBorder="1" applyAlignment="1" applyProtection="1">
      <alignment horizontal="center" vertical="center"/>
      <protection locked="0"/>
    </xf>
    <xf numFmtId="165" fontId="0" fillId="8" borderId="2" xfId="0" applyNumberFormat="1" applyFill="1" applyBorder="1" applyAlignment="1" applyProtection="1">
      <alignment horizontal="center" vertical="center"/>
      <protection locked="0"/>
    </xf>
    <xf numFmtId="0" fontId="4" fillId="0" borderId="0" xfId="0" applyFont="1" applyBorder="1" applyAlignment="1">
      <alignment horizontal="center" wrapText="1"/>
    </xf>
    <xf numFmtId="0" fontId="3" fillId="0" borderId="0" xfId="0" applyFont="1" applyBorder="1" applyAlignment="1">
      <alignment horizontal="left" wrapText="1"/>
    </xf>
    <xf numFmtId="0" fontId="3" fillId="0" borderId="17" xfId="0" applyFont="1" applyBorder="1" applyAlignment="1">
      <alignment horizontal="left" vertical="center" wrapText="1"/>
    </xf>
    <xf numFmtId="0" fontId="30" fillId="0" borderId="6" xfId="0" applyFont="1" applyBorder="1" applyAlignment="1">
      <alignment horizontal="center" wrapText="1"/>
    </xf>
    <xf numFmtId="0" fontId="24" fillId="0" borderId="0" xfId="0" applyFont="1" applyBorder="1" applyAlignment="1">
      <alignment horizontal="left" wrapText="1"/>
    </xf>
    <xf numFmtId="0" fontId="24" fillId="0" borderId="2" xfId="0" applyFont="1" applyBorder="1" applyAlignment="1">
      <alignment horizontal="left" vertical="center" wrapText="1"/>
    </xf>
    <xf numFmtId="0" fontId="24" fillId="0" borderId="0" xfId="0" applyFont="1" applyAlignment="1">
      <alignment wrapText="1"/>
    </xf>
    <xf numFmtId="0" fontId="26" fillId="0" borderId="15" xfId="0" applyFont="1" applyBorder="1" applyAlignment="1">
      <alignment horizontal="center" wrapText="1"/>
    </xf>
    <xf numFmtId="0" fontId="24" fillId="0" borderId="15" xfId="0" applyFont="1" applyBorder="1" applyAlignment="1">
      <alignment horizontal="center" wrapText="1"/>
    </xf>
    <xf numFmtId="0" fontId="24" fillId="0" borderId="16" xfId="0" applyFont="1" applyBorder="1" applyAlignment="1">
      <alignment horizontal="center" wrapText="1"/>
    </xf>
    <xf numFmtId="0" fontId="24" fillId="0" borderId="54" xfId="0" applyFont="1" applyBorder="1" applyAlignment="1">
      <alignment horizontal="left" vertical="center" wrapText="1"/>
    </xf>
    <xf numFmtId="0" fontId="24" fillId="0" borderId="46" xfId="0" applyFont="1" applyBorder="1" applyAlignment="1">
      <alignment horizontal="left" vertical="center" wrapText="1"/>
    </xf>
    <xf numFmtId="0" fontId="24" fillId="0" borderId="30" xfId="0" applyFont="1" applyBorder="1" applyAlignment="1">
      <alignment horizontal="left" vertical="center" wrapText="1"/>
    </xf>
    <xf numFmtId="0" fontId="24" fillId="0" borderId="3" xfId="0" applyFont="1" applyBorder="1" applyAlignment="1">
      <alignment horizontal="left" wrapText="1"/>
    </xf>
    <xf numFmtId="0" fontId="24" fillId="0" borderId="27" xfId="0" applyFont="1" applyBorder="1" applyAlignment="1">
      <alignment horizontal="left" wrapText="1"/>
    </xf>
    <xf numFmtId="0" fontId="24" fillId="0" borderId="21" xfId="0" applyFont="1" applyBorder="1" applyAlignment="1">
      <alignment horizontal="left" wrapText="1"/>
    </xf>
    <xf numFmtId="0" fontId="34" fillId="0" borderId="0" xfId="0" applyFont="1" applyAlignment="1">
      <alignment horizontal="center"/>
    </xf>
  </cellXfs>
  <cellStyles count="5">
    <cellStyle name="Comma" xfId="1" builtinId="3"/>
    <cellStyle name="Hyperlink" xfId="2" builtinId="8"/>
    <cellStyle name="Normal" xfId="0" builtinId="0"/>
    <cellStyle name="Normal 2" xfId="3"/>
    <cellStyle name="Percent" xfId="4" builtinId="5"/>
  </cellStyles>
  <dxfs count="2">
    <dxf>
      <font>
        <b val="0"/>
        <i val="0"/>
        <condense val="0"/>
        <extend val="0"/>
        <color auto="1"/>
      </font>
      <fill>
        <patternFill>
          <bgColor indexed="42"/>
        </patternFill>
      </fill>
      <border>
        <left style="thin">
          <color indexed="13"/>
        </left>
        <right style="thin">
          <color indexed="13"/>
        </right>
        <top style="thin">
          <color indexed="13"/>
        </top>
        <bottom style="thin">
          <color indexed="13"/>
        </bottom>
      </border>
    </dxf>
    <dxf>
      <font>
        <b val="0"/>
        <i val="0"/>
        <condense val="0"/>
        <extend val="0"/>
        <u/>
        <color indexed="9"/>
      </font>
      <fill>
        <patternFill>
          <fgColor indexed="10"/>
          <bgColor indexed="1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ctrlProps/ctrlProp1.xml><?xml version="1.0" encoding="utf-8"?>
<formControlPr xmlns="http://schemas.microsoft.com/office/spreadsheetml/2009/9/main" objectType="Radio" firstButton="1" fmlaLink="$K$6" lockText="1" noThreeD="1"/>
</file>

<file path=xl/ctrlProps/ctrlProp10.xml><?xml version="1.0" encoding="utf-8"?>
<formControlPr xmlns="http://schemas.microsoft.com/office/spreadsheetml/2009/9/main" objectType="Radio" firstButton="1" fmlaLink="$K$9" lockText="1" noThreeD="1"/>
</file>

<file path=xl/ctrlProps/ctrlProp11.xml><?xml version="1.0" encoding="utf-8"?>
<formControlPr xmlns="http://schemas.microsoft.com/office/spreadsheetml/2009/9/main" objectType="Radio" checked="Checked" lockText="1" noThreeD="1"/>
</file>

<file path=xl/ctrlProps/ctrlProp12.xml><?xml version="1.0" encoding="utf-8"?>
<formControlPr xmlns="http://schemas.microsoft.com/office/spreadsheetml/2009/9/main" objectType="GBox" noThreeD="1"/>
</file>

<file path=xl/ctrlProps/ctrlProp13.xml><?xml version="1.0" encoding="utf-8"?>
<formControlPr xmlns="http://schemas.microsoft.com/office/spreadsheetml/2009/9/main" objectType="GBox" noThreeD="1"/>
</file>

<file path=xl/ctrlProps/ctrlProp14.xml><?xml version="1.0" encoding="utf-8"?>
<formControlPr xmlns="http://schemas.microsoft.com/office/spreadsheetml/2009/9/main" objectType="Radio" firstButton="1" fmlaLink="$I$6" lockText="1" noThreeD="1"/>
</file>

<file path=xl/ctrlProps/ctrlProp15.xml><?xml version="1.0" encoding="utf-8"?>
<formControlPr xmlns="http://schemas.microsoft.com/office/spreadsheetml/2009/9/main" objectType="Radio" checked="Checked" lockText="1" noThreeD="1"/>
</file>

<file path=xl/ctrlProps/ctrlProp16.xml><?xml version="1.0" encoding="utf-8"?>
<formControlPr xmlns="http://schemas.microsoft.com/office/spreadsheetml/2009/9/main" objectType="GBox" noThreeD="1"/>
</file>

<file path=xl/ctrlProps/ctrlProp17.xml><?xml version="1.0" encoding="utf-8"?>
<formControlPr xmlns="http://schemas.microsoft.com/office/spreadsheetml/2009/9/main" objectType="Radio" firstButton="1" fmlaLink="$I$7" lockText="1" noThreeD="1"/>
</file>

<file path=xl/ctrlProps/ctrlProp18.xml><?xml version="1.0" encoding="utf-8"?>
<formControlPr xmlns="http://schemas.microsoft.com/office/spreadsheetml/2009/9/main" objectType="Radio" checked="Checked" lockText="1" noThreeD="1"/>
</file>

<file path=xl/ctrlProps/ctrlProp19.xml><?xml version="1.0" encoding="utf-8"?>
<formControlPr xmlns="http://schemas.microsoft.com/office/spreadsheetml/2009/9/main" objectType="GBox" noThreeD="1"/>
</file>

<file path=xl/ctrlProps/ctrlProp2.xml><?xml version="1.0" encoding="utf-8"?>
<formControlPr xmlns="http://schemas.microsoft.com/office/spreadsheetml/2009/9/main" objectType="Radio" firstButton="1" fmlaLink="$K$7" lockText="1" noThreeD="1"/>
</file>

<file path=xl/ctrlProps/ctrlProp20.xml><?xml version="1.0" encoding="utf-8"?>
<formControlPr xmlns="http://schemas.microsoft.com/office/spreadsheetml/2009/9/main" objectType="Radio" firstButton="1" fmlaLink="$I$8" lockText="1" noThreeD="1"/>
</file>

<file path=xl/ctrlProps/ctrlProp21.xml><?xml version="1.0" encoding="utf-8"?>
<formControlPr xmlns="http://schemas.microsoft.com/office/spreadsheetml/2009/9/main" objectType="Radio" checked="Checked" lockText="1" noThreeD="1"/>
</file>

<file path=xl/ctrlProps/ctrlProp22.xml><?xml version="1.0" encoding="utf-8"?>
<formControlPr xmlns="http://schemas.microsoft.com/office/spreadsheetml/2009/9/main" objectType="Radio" firstButton="1" fmlaLink="$I$7" lockText="1" noThreeD="1"/>
</file>

<file path=xl/ctrlProps/ctrlProp23.xml><?xml version="1.0" encoding="utf-8"?>
<formControlPr xmlns="http://schemas.microsoft.com/office/spreadsheetml/2009/9/main" objectType="Radio" checked="Checked" noThreeD="1"/>
</file>

<file path=xl/ctrlProps/ctrlProp24.xml><?xml version="1.0" encoding="utf-8"?>
<formControlPr xmlns="http://schemas.microsoft.com/office/spreadsheetml/2009/9/main" objectType="GBox" noThreeD="1"/>
</file>

<file path=xl/ctrlProps/ctrlProp25.xml><?xml version="1.0" encoding="utf-8"?>
<formControlPr xmlns="http://schemas.microsoft.com/office/spreadsheetml/2009/9/main" objectType="Radio" firstButton="1" fmlaLink="$I$8" lockText="1" noThreeD="1"/>
</file>

<file path=xl/ctrlProps/ctrlProp26.xml><?xml version="1.0" encoding="utf-8"?>
<formControlPr xmlns="http://schemas.microsoft.com/office/spreadsheetml/2009/9/main" objectType="Radio" checked="Checked" lockText="1" noThreeD="1"/>
</file>

<file path=xl/ctrlProps/ctrlProp27.xml><?xml version="1.0" encoding="utf-8"?>
<formControlPr xmlns="http://schemas.microsoft.com/office/spreadsheetml/2009/9/main" objectType="GBox" noThreeD="1"/>
</file>

<file path=xl/ctrlProps/ctrlProp28.xml><?xml version="1.0" encoding="utf-8"?>
<formControlPr xmlns="http://schemas.microsoft.com/office/spreadsheetml/2009/9/main" objectType="Radio" firstButton="1" fmlaLink="$I$9" lockText="1" noThreeD="1"/>
</file>

<file path=xl/ctrlProps/ctrlProp29.xml><?xml version="1.0" encoding="utf-8"?>
<formControlPr xmlns="http://schemas.microsoft.com/office/spreadsheetml/2009/9/main" objectType="Radio" checked="Checked" lockText="1" noThreeD="1"/>
</file>

<file path=xl/ctrlProps/ctrlProp3.xml><?xml version="1.0" encoding="utf-8"?>
<formControlPr xmlns="http://schemas.microsoft.com/office/spreadsheetml/2009/9/main" objectType="Radio" firstButton="1" fmlaLink="$K$8" lockText="1" noThreeD="1"/>
</file>

<file path=xl/ctrlProps/ctrlProp30.xml><?xml version="1.0" encoding="utf-8"?>
<formControlPr xmlns="http://schemas.microsoft.com/office/spreadsheetml/2009/9/main" objectType="GBox" noThreeD="1"/>
</file>

<file path=xl/ctrlProps/ctrlProp31.xml><?xml version="1.0" encoding="utf-8"?>
<formControlPr xmlns="http://schemas.microsoft.com/office/spreadsheetml/2009/9/main" objectType="Radio" firstButton="1" fmlaLink="$I$7" lockText="1" noThreeD="1"/>
</file>

<file path=xl/ctrlProps/ctrlProp32.xml><?xml version="1.0" encoding="utf-8"?>
<formControlPr xmlns="http://schemas.microsoft.com/office/spreadsheetml/2009/9/main" objectType="Radio" checked="Checked" lockText="1" noThreeD="1"/>
</file>

<file path=xl/ctrlProps/ctrlProp33.xml><?xml version="1.0" encoding="utf-8"?>
<formControlPr xmlns="http://schemas.microsoft.com/office/spreadsheetml/2009/9/main" objectType="Radio" firstButton="1" fmlaLink="$I$8" lockText="1" noThreeD="1"/>
</file>

<file path=xl/ctrlProps/ctrlProp34.xml><?xml version="1.0" encoding="utf-8"?>
<formControlPr xmlns="http://schemas.microsoft.com/office/spreadsheetml/2009/9/main" objectType="Radio" checked="Checked" lockText="1" noThreeD="1"/>
</file>

<file path=xl/ctrlProps/ctrlProp35.xml><?xml version="1.0" encoding="utf-8"?>
<formControlPr xmlns="http://schemas.microsoft.com/office/spreadsheetml/2009/9/main" objectType="GBox" noThreeD="1"/>
</file>

<file path=xl/ctrlProps/ctrlProp36.xml><?xml version="1.0" encoding="utf-8"?>
<formControlPr xmlns="http://schemas.microsoft.com/office/spreadsheetml/2009/9/main" objectType="Radio" firstButton="1" fmlaLink="$I$9" noThreeD="1"/>
</file>

<file path=xl/ctrlProps/ctrlProp37.xml><?xml version="1.0" encoding="utf-8"?>
<formControlPr xmlns="http://schemas.microsoft.com/office/spreadsheetml/2009/9/main" objectType="GBox" noThreeD="1"/>
</file>

<file path=xl/ctrlProps/ctrlProp38.xml><?xml version="1.0" encoding="utf-8"?>
<formControlPr xmlns="http://schemas.microsoft.com/office/spreadsheetml/2009/9/main" objectType="GBox" noThreeD="1"/>
</file>

<file path=xl/ctrlProps/ctrlProp39.xml><?xml version="1.0" encoding="utf-8"?>
<formControlPr xmlns="http://schemas.microsoft.com/office/spreadsheetml/2009/9/main" objectType="Radio" checked="Checked" lockText="1" noThreeD="1"/>
</file>

<file path=xl/ctrlProps/ctrlProp4.xml><?xml version="1.0" encoding="utf-8"?>
<formControlPr xmlns="http://schemas.microsoft.com/office/spreadsheetml/2009/9/main" objectType="Radio" checked="Checked" lockText="1" noThreeD="1"/>
</file>

<file path=xl/ctrlProps/ctrlProp40.xml><?xml version="1.0" encoding="utf-8"?>
<formControlPr xmlns="http://schemas.microsoft.com/office/spreadsheetml/2009/9/main" objectType="Radio" firstButton="1" fmlaLink="$I$10" lockText="1" noThreeD="1"/>
</file>

<file path=xl/ctrlProps/ctrlProp41.xml><?xml version="1.0" encoding="utf-8"?>
<formControlPr xmlns="http://schemas.microsoft.com/office/spreadsheetml/2009/9/main" objectType="Radio" checked="Checked" lockText="1" noThreeD="1"/>
</file>

<file path=xl/ctrlProps/ctrlProp42.xml><?xml version="1.0" encoding="utf-8"?>
<formControlPr xmlns="http://schemas.microsoft.com/office/spreadsheetml/2009/9/main" objectType="GBox" noThreeD="1"/>
</file>

<file path=xl/ctrlProps/ctrlProp43.xml><?xml version="1.0" encoding="utf-8"?>
<formControlPr xmlns="http://schemas.microsoft.com/office/spreadsheetml/2009/9/main" objectType="GBox" noThreeD="1"/>
</file>

<file path=xl/ctrlProps/ctrlProp44.xml><?xml version="1.0" encoding="utf-8"?>
<formControlPr xmlns="http://schemas.microsoft.com/office/spreadsheetml/2009/9/main" objectType="Radio" firstButton="1" fmlaLink="$J$7" lockText="1" noThreeD="1"/>
</file>

<file path=xl/ctrlProps/ctrlProp45.xml><?xml version="1.0" encoding="utf-8"?>
<formControlPr xmlns="http://schemas.microsoft.com/office/spreadsheetml/2009/9/main" objectType="Radio" checked="Checked" lockText="1" noThreeD="1"/>
</file>

<file path=xl/ctrlProps/ctrlProp46.xml><?xml version="1.0" encoding="utf-8"?>
<formControlPr xmlns="http://schemas.microsoft.com/office/spreadsheetml/2009/9/main" objectType="GBox" noThreeD="1"/>
</file>

<file path=xl/ctrlProps/ctrlProp47.xml><?xml version="1.0" encoding="utf-8"?>
<formControlPr xmlns="http://schemas.microsoft.com/office/spreadsheetml/2009/9/main" objectType="Radio" firstButton="1" fmlaLink="$J$8" lockText="1" noThreeD="1"/>
</file>

<file path=xl/ctrlProps/ctrlProp48.xml><?xml version="1.0" encoding="utf-8"?>
<formControlPr xmlns="http://schemas.microsoft.com/office/spreadsheetml/2009/9/main" objectType="Radio" checked="Checked" lockText="1" noThreeD="1"/>
</file>

<file path=xl/ctrlProps/ctrlProp49.xml><?xml version="1.0" encoding="utf-8"?>
<formControlPr xmlns="http://schemas.microsoft.com/office/spreadsheetml/2009/9/main" objectType="GBox" noThreeD="1"/>
</file>

<file path=xl/ctrlProps/ctrlProp5.xml><?xml version="1.0" encoding="utf-8"?>
<formControlPr xmlns="http://schemas.microsoft.com/office/spreadsheetml/2009/9/main" objectType="Radio" checked="Checked" lockText="1" noThreeD="1"/>
</file>

<file path=xl/ctrlProps/ctrlProp50.xml><?xml version="1.0" encoding="utf-8"?>
<formControlPr xmlns="http://schemas.microsoft.com/office/spreadsheetml/2009/9/main" objectType="Radio" firstButton="1" fmlaLink="$J$8" lockText="1" noThreeD="1"/>
</file>

<file path=xl/ctrlProps/ctrlProp51.xml><?xml version="1.0" encoding="utf-8"?>
<formControlPr xmlns="http://schemas.microsoft.com/office/spreadsheetml/2009/9/main" objectType="Radio" checked="Checked" lockText="1" noThreeD="1"/>
</file>

<file path=xl/ctrlProps/ctrlProp6.xml><?xml version="1.0" encoding="utf-8"?>
<formControlPr xmlns="http://schemas.microsoft.com/office/spreadsheetml/2009/9/main" objectType="Radio" checked="Checked" lockText="1" noThreeD="1"/>
</file>

<file path=xl/ctrlProps/ctrlProp7.xml><?xml version="1.0" encoding="utf-8"?>
<formControlPr xmlns="http://schemas.microsoft.com/office/spreadsheetml/2009/9/main" objectType="GBox" noThreeD="1"/>
</file>

<file path=xl/ctrlProps/ctrlProp8.xml><?xml version="1.0" encoding="utf-8"?>
<formControlPr xmlns="http://schemas.microsoft.com/office/spreadsheetml/2009/9/main" objectType="GBox" noThreeD="1"/>
</file>

<file path=xl/ctrlProps/ctrlProp9.xml><?xml version="1.0" encoding="utf-8"?>
<formControlPr xmlns="http://schemas.microsoft.com/office/spreadsheetml/2009/9/main" objectType="GBox"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0</xdr:colOff>
          <xdr:row>5</xdr:row>
          <xdr:rowOff>0</xdr:rowOff>
        </xdr:from>
        <xdr:to>
          <xdr:col>8</xdr:col>
          <xdr:colOff>0</xdr:colOff>
          <xdr:row>6</xdr:row>
          <xdr:rowOff>0</xdr:rowOff>
        </xdr:to>
        <xdr:sp macro="" textlink="">
          <xdr:nvSpPr>
            <xdr:cNvPr id="4097" name="Option Button 1" hidden="1">
              <a:extLst>
                <a:ext uri="{63B3BB69-23CF-44E3-9099-C40C66FF867C}">
                  <a14:compatExt spid="_x0000_s40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1000" b="0" i="0" u="none" strike="noStrike" baseline="0">
                  <a:solidFill>
                    <a:srgbClr val="000000"/>
                  </a:solidFill>
                  <a:latin typeface="Genev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6</xdr:row>
          <xdr:rowOff>66675</xdr:rowOff>
        </xdr:from>
        <xdr:to>
          <xdr:col>8</xdr:col>
          <xdr:colOff>0</xdr:colOff>
          <xdr:row>6</xdr:row>
          <xdr:rowOff>485775</xdr:rowOff>
        </xdr:to>
        <xdr:sp macro="" textlink="">
          <xdr:nvSpPr>
            <xdr:cNvPr id="4098" name="Option Button 2" hidden="1">
              <a:extLst>
                <a:ext uri="{63B3BB69-23CF-44E3-9099-C40C66FF867C}">
                  <a14:compatExt spid="_x0000_s40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1000" b="0" i="0" u="none" strike="noStrike" baseline="0">
                  <a:solidFill>
                    <a:srgbClr val="000000"/>
                  </a:solidFill>
                  <a:latin typeface="Genev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7</xdr:row>
          <xdr:rowOff>0</xdr:rowOff>
        </xdr:from>
        <xdr:to>
          <xdr:col>8</xdr:col>
          <xdr:colOff>0</xdr:colOff>
          <xdr:row>7</xdr:row>
          <xdr:rowOff>419100</xdr:rowOff>
        </xdr:to>
        <xdr:sp macro="" textlink="">
          <xdr:nvSpPr>
            <xdr:cNvPr id="4099" name="Option Button 3" hidden="1">
              <a:extLst>
                <a:ext uri="{63B3BB69-23CF-44E3-9099-C40C66FF867C}">
                  <a14:compatExt spid="_x0000_s40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1000" b="0" i="0" u="none" strike="noStrike" baseline="0">
                  <a:solidFill>
                    <a:srgbClr val="000000"/>
                  </a:solidFill>
                  <a:latin typeface="Genev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5</xdr:row>
          <xdr:rowOff>9525</xdr:rowOff>
        </xdr:from>
        <xdr:to>
          <xdr:col>9</xdr:col>
          <xdr:colOff>0</xdr:colOff>
          <xdr:row>5</xdr:row>
          <xdr:rowOff>409575</xdr:rowOff>
        </xdr:to>
        <xdr:sp macro="" textlink="">
          <xdr:nvSpPr>
            <xdr:cNvPr id="4100" name="Option Button 4" hidden="1">
              <a:extLst>
                <a:ext uri="{63B3BB69-23CF-44E3-9099-C40C66FF867C}">
                  <a14:compatExt spid="_x0000_s4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1000" b="0" i="0" u="none" strike="noStrike" baseline="0">
                  <a:solidFill>
                    <a:srgbClr val="000000"/>
                  </a:solidFill>
                  <a:latin typeface="Genev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6</xdr:row>
          <xdr:rowOff>85725</xdr:rowOff>
        </xdr:from>
        <xdr:to>
          <xdr:col>9</xdr:col>
          <xdr:colOff>0</xdr:colOff>
          <xdr:row>6</xdr:row>
          <xdr:rowOff>485775</xdr:rowOff>
        </xdr:to>
        <xdr:sp macro="" textlink="">
          <xdr:nvSpPr>
            <xdr:cNvPr id="4101" name="Option Button 5" hidden="1">
              <a:extLst>
                <a:ext uri="{63B3BB69-23CF-44E3-9099-C40C66FF867C}">
                  <a14:compatExt spid="_x0000_s41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1000" b="0" i="0" u="none" strike="noStrike" baseline="0">
                  <a:solidFill>
                    <a:srgbClr val="000000"/>
                  </a:solidFill>
                  <a:latin typeface="Genev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7</xdr:row>
          <xdr:rowOff>9525</xdr:rowOff>
        </xdr:from>
        <xdr:to>
          <xdr:col>9</xdr:col>
          <xdr:colOff>0</xdr:colOff>
          <xdr:row>7</xdr:row>
          <xdr:rowOff>409575</xdr:rowOff>
        </xdr:to>
        <xdr:sp macro="" textlink="">
          <xdr:nvSpPr>
            <xdr:cNvPr id="4102" name="Option Button 6" hidden="1">
              <a:extLst>
                <a:ext uri="{63B3BB69-23CF-44E3-9099-C40C66FF867C}">
                  <a14:compatExt spid="_x0000_s41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1000" b="0" i="0" u="none" strike="noStrike" baseline="0">
                  <a:solidFill>
                    <a:srgbClr val="000000"/>
                  </a:solidFill>
                  <a:latin typeface="Genev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5</xdr:row>
          <xdr:rowOff>0</xdr:rowOff>
        </xdr:from>
        <xdr:to>
          <xdr:col>9</xdr:col>
          <xdr:colOff>0</xdr:colOff>
          <xdr:row>6</xdr:row>
          <xdr:rowOff>0</xdr:rowOff>
        </xdr:to>
        <xdr:sp macro="" textlink="">
          <xdr:nvSpPr>
            <xdr:cNvPr id="4103" name="Group Box 7" hidden="1">
              <a:extLst>
                <a:ext uri="{63B3BB69-23CF-44E3-9099-C40C66FF867C}">
                  <a14:compatExt spid="_x0000_s410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6</xdr:row>
          <xdr:rowOff>0</xdr:rowOff>
        </xdr:from>
        <xdr:to>
          <xdr:col>9</xdr:col>
          <xdr:colOff>0</xdr:colOff>
          <xdr:row>7</xdr:row>
          <xdr:rowOff>0</xdr:rowOff>
        </xdr:to>
        <xdr:sp macro="" textlink="">
          <xdr:nvSpPr>
            <xdr:cNvPr id="4105" name="Group Box 9" hidden="1">
              <a:extLst>
                <a:ext uri="{63B3BB69-23CF-44E3-9099-C40C66FF867C}">
                  <a14:compatExt spid="_x0000_s410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7</xdr:row>
          <xdr:rowOff>0</xdr:rowOff>
        </xdr:from>
        <xdr:to>
          <xdr:col>9</xdr:col>
          <xdr:colOff>0</xdr:colOff>
          <xdr:row>7</xdr:row>
          <xdr:rowOff>619125</xdr:rowOff>
        </xdr:to>
        <xdr:sp macro="" textlink="">
          <xdr:nvSpPr>
            <xdr:cNvPr id="4106" name="Group Box 10" hidden="1">
              <a:extLst>
                <a:ext uri="{63B3BB69-23CF-44E3-9099-C40C66FF867C}">
                  <a14:compatExt spid="_x0000_s410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8</xdr:row>
          <xdr:rowOff>38100</xdr:rowOff>
        </xdr:from>
        <xdr:to>
          <xdr:col>7</xdr:col>
          <xdr:colOff>590550</xdr:colOff>
          <xdr:row>8</xdr:row>
          <xdr:rowOff>419100</xdr:rowOff>
        </xdr:to>
        <xdr:sp macro="" textlink="">
          <xdr:nvSpPr>
            <xdr:cNvPr id="4107" name="Option Button 11" hidden="1">
              <a:extLst>
                <a:ext uri="{63B3BB69-23CF-44E3-9099-C40C66FF867C}">
                  <a14:compatExt spid="_x0000_s41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1000" b="0" i="0" u="none" strike="noStrike" baseline="0">
                  <a:solidFill>
                    <a:srgbClr val="000000"/>
                  </a:solidFill>
                  <a:latin typeface="Genev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8</xdr:row>
          <xdr:rowOff>47625</xdr:rowOff>
        </xdr:from>
        <xdr:to>
          <xdr:col>8</xdr:col>
          <xdr:colOff>552450</xdr:colOff>
          <xdr:row>8</xdr:row>
          <xdr:rowOff>400050</xdr:rowOff>
        </xdr:to>
        <xdr:sp macro="" textlink="">
          <xdr:nvSpPr>
            <xdr:cNvPr id="4108" name="Option Button 12" hidden="1">
              <a:extLst>
                <a:ext uri="{63B3BB69-23CF-44E3-9099-C40C66FF867C}">
                  <a14:compatExt spid="_x0000_s41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1000" b="0" i="0" u="none" strike="noStrike" baseline="0">
                  <a:solidFill>
                    <a:srgbClr val="000000"/>
                  </a:solidFill>
                  <a:latin typeface="Genev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1819275</xdr:colOff>
          <xdr:row>8</xdr:row>
          <xdr:rowOff>0</xdr:rowOff>
        </xdr:from>
        <xdr:to>
          <xdr:col>8</xdr:col>
          <xdr:colOff>600075</xdr:colOff>
          <xdr:row>8</xdr:row>
          <xdr:rowOff>504825</xdr:rowOff>
        </xdr:to>
        <xdr:sp macro="" textlink="">
          <xdr:nvSpPr>
            <xdr:cNvPr id="4109" name="Group Box 13" hidden="1">
              <a:extLst>
                <a:ext uri="{63B3BB69-23CF-44E3-9099-C40C66FF867C}">
                  <a14:compatExt spid="_x0000_s410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0</xdr:colOff>
          <xdr:row>5</xdr:row>
          <xdr:rowOff>0</xdr:rowOff>
        </xdr:from>
        <xdr:to>
          <xdr:col>7</xdr:col>
          <xdr:colOff>0</xdr:colOff>
          <xdr:row>6</xdr:row>
          <xdr:rowOff>0</xdr:rowOff>
        </xdr:to>
        <xdr:sp macro="" textlink="">
          <xdr:nvSpPr>
            <xdr:cNvPr id="5133" name="Group Box 13" hidden="1">
              <a:extLst>
                <a:ext uri="{63B3BB69-23CF-44E3-9099-C40C66FF867C}">
                  <a14:compatExt spid="_x0000_s513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219075</xdr:colOff>
          <xdr:row>5</xdr:row>
          <xdr:rowOff>85725</xdr:rowOff>
        </xdr:from>
        <xdr:to>
          <xdr:col>6</xdr:col>
          <xdr:colOff>800100</xdr:colOff>
          <xdr:row>5</xdr:row>
          <xdr:rowOff>323850</xdr:rowOff>
        </xdr:to>
        <xdr:sp macro="" textlink="">
          <xdr:nvSpPr>
            <xdr:cNvPr id="5134" name="Option Button 14" hidden="1">
              <a:extLst>
                <a:ext uri="{63B3BB69-23CF-44E3-9099-C40C66FF867C}">
                  <a14:compatExt spid="_x0000_s51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1000" b="0" i="0" u="none" strike="noStrike" baseline="0">
                  <a:solidFill>
                    <a:srgbClr val="000000"/>
                  </a:solidFill>
                  <a:latin typeface="Genev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981075</xdr:colOff>
          <xdr:row>5</xdr:row>
          <xdr:rowOff>85725</xdr:rowOff>
        </xdr:from>
        <xdr:to>
          <xdr:col>6</xdr:col>
          <xdr:colOff>1466850</xdr:colOff>
          <xdr:row>5</xdr:row>
          <xdr:rowOff>304800</xdr:rowOff>
        </xdr:to>
        <xdr:sp macro="" textlink="">
          <xdr:nvSpPr>
            <xdr:cNvPr id="5135" name="Option Button 15" hidden="1">
              <a:extLst>
                <a:ext uri="{63B3BB69-23CF-44E3-9099-C40C66FF867C}">
                  <a14:compatExt spid="_x0000_s51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1000" b="0" i="0" u="none" strike="noStrike" baseline="0">
                  <a:solidFill>
                    <a:srgbClr val="000000"/>
                  </a:solidFill>
                  <a:latin typeface="Genev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6</xdr:row>
          <xdr:rowOff>9525</xdr:rowOff>
        </xdr:from>
        <xdr:to>
          <xdr:col>7</xdr:col>
          <xdr:colOff>0</xdr:colOff>
          <xdr:row>7</xdr:row>
          <xdr:rowOff>0</xdr:rowOff>
        </xdr:to>
        <xdr:sp macro="" textlink="">
          <xdr:nvSpPr>
            <xdr:cNvPr id="5136" name="Group Box 16" hidden="1">
              <a:extLst>
                <a:ext uri="{63B3BB69-23CF-44E3-9099-C40C66FF867C}">
                  <a14:compatExt spid="_x0000_s513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200025</xdr:colOff>
          <xdr:row>6</xdr:row>
          <xdr:rowOff>314325</xdr:rowOff>
        </xdr:from>
        <xdr:to>
          <xdr:col>6</xdr:col>
          <xdr:colOff>723900</xdr:colOff>
          <xdr:row>6</xdr:row>
          <xdr:rowOff>581025</xdr:rowOff>
        </xdr:to>
        <xdr:sp macro="" textlink="">
          <xdr:nvSpPr>
            <xdr:cNvPr id="5137" name="Option Button 17" hidden="1">
              <a:extLst>
                <a:ext uri="{63B3BB69-23CF-44E3-9099-C40C66FF867C}">
                  <a14:compatExt spid="_x0000_s51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1000" b="0" i="0" u="none" strike="noStrike" baseline="0">
                  <a:solidFill>
                    <a:srgbClr val="000000"/>
                  </a:solidFill>
                  <a:latin typeface="Genev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1000125</xdr:colOff>
          <xdr:row>6</xdr:row>
          <xdr:rowOff>295275</xdr:rowOff>
        </xdr:from>
        <xdr:to>
          <xdr:col>6</xdr:col>
          <xdr:colOff>1457325</xdr:colOff>
          <xdr:row>6</xdr:row>
          <xdr:rowOff>600075</xdr:rowOff>
        </xdr:to>
        <xdr:sp macro="" textlink="">
          <xdr:nvSpPr>
            <xdr:cNvPr id="5138" name="Option Button 18" hidden="1">
              <a:extLst>
                <a:ext uri="{63B3BB69-23CF-44E3-9099-C40C66FF867C}">
                  <a14:compatExt spid="_x0000_s51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1000" b="0" i="0" u="none" strike="noStrike" baseline="0">
                  <a:solidFill>
                    <a:srgbClr val="000000"/>
                  </a:solidFill>
                  <a:latin typeface="Genev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7</xdr:row>
          <xdr:rowOff>0</xdr:rowOff>
        </xdr:from>
        <xdr:to>
          <xdr:col>7</xdr:col>
          <xdr:colOff>0</xdr:colOff>
          <xdr:row>8</xdr:row>
          <xdr:rowOff>0</xdr:rowOff>
        </xdr:to>
        <xdr:sp macro="" textlink="">
          <xdr:nvSpPr>
            <xdr:cNvPr id="5139" name="Group Box 19" hidden="1">
              <a:extLst>
                <a:ext uri="{63B3BB69-23CF-44E3-9099-C40C66FF867C}">
                  <a14:compatExt spid="_x0000_s513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209550</xdr:colOff>
          <xdr:row>7</xdr:row>
          <xdr:rowOff>161925</xdr:rowOff>
        </xdr:from>
        <xdr:to>
          <xdr:col>6</xdr:col>
          <xdr:colOff>800100</xdr:colOff>
          <xdr:row>7</xdr:row>
          <xdr:rowOff>381000</xdr:rowOff>
        </xdr:to>
        <xdr:sp macro="" textlink="">
          <xdr:nvSpPr>
            <xdr:cNvPr id="5140" name="Option Button 20" hidden="1">
              <a:extLst>
                <a:ext uri="{63B3BB69-23CF-44E3-9099-C40C66FF867C}">
                  <a14:compatExt spid="_x0000_s51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1000" b="0" i="0" u="none" strike="noStrike" baseline="0">
                  <a:solidFill>
                    <a:srgbClr val="000000"/>
                  </a:solidFill>
                  <a:latin typeface="Genev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981075</xdr:colOff>
          <xdr:row>7</xdr:row>
          <xdr:rowOff>152400</xdr:rowOff>
        </xdr:from>
        <xdr:to>
          <xdr:col>6</xdr:col>
          <xdr:colOff>1495425</xdr:colOff>
          <xdr:row>7</xdr:row>
          <xdr:rowOff>371475</xdr:rowOff>
        </xdr:to>
        <xdr:sp macro="" textlink="">
          <xdr:nvSpPr>
            <xdr:cNvPr id="5141" name="Option Button 21" hidden="1">
              <a:extLst>
                <a:ext uri="{63B3BB69-23CF-44E3-9099-C40C66FF867C}">
                  <a14:compatExt spid="_x0000_s51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1000" b="0" i="0" u="none" strike="noStrike" baseline="0">
                  <a:solidFill>
                    <a:srgbClr val="000000"/>
                  </a:solidFill>
                  <a:latin typeface="Geneva"/>
                </a:rPr>
                <a:t>No</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142875</xdr:colOff>
          <xdr:row>6</xdr:row>
          <xdr:rowOff>228600</xdr:rowOff>
        </xdr:from>
        <xdr:to>
          <xdr:col>6</xdr:col>
          <xdr:colOff>638175</xdr:colOff>
          <xdr:row>6</xdr:row>
          <xdr:rowOff>447675</xdr:rowOff>
        </xdr:to>
        <xdr:sp macro="" textlink="">
          <xdr:nvSpPr>
            <xdr:cNvPr id="10248" name="Option Button 8" hidden="1">
              <a:extLst>
                <a:ext uri="{63B3BB69-23CF-44E3-9099-C40C66FF867C}">
                  <a14:compatExt spid="_x0000_s102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1000" b="0" i="0" u="none" strike="noStrike" baseline="0">
                  <a:solidFill>
                    <a:srgbClr val="000000"/>
                  </a:solidFill>
                  <a:latin typeface="Genev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1171575</xdr:colOff>
          <xdr:row>6</xdr:row>
          <xdr:rowOff>228600</xdr:rowOff>
        </xdr:from>
        <xdr:to>
          <xdr:col>6</xdr:col>
          <xdr:colOff>1685925</xdr:colOff>
          <xdr:row>6</xdr:row>
          <xdr:rowOff>447675</xdr:rowOff>
        </xdr:to>
        <xdr:sp macro="" textlink="">
          <xdr:nvSpPr>
            <xdr:cNvPr id="10249" name="Option Button 9" hidden="1">
              <a:extLst>
                <a:ext uri="{63B3BB69-23CF-44E3-9099-C40C66FF867C}">
                  <a14:compatExt spid="_x0000_s102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1000" b="0" i="0" u="none" strike="noStrike" baseline="0">
                  <a:solidFill>
                    <a:srgbClr val="000000"/>
                  </a:solidFill>
                  <a:latin typeface="Geneva"/>
                </a:rPr>
                <a:t>No</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6</xdr:row>
          <xdr:rowOff>0</xdr:rowOff>
        </xdr:from>
        <xdr:to>
          <xdr:col>7</xdr:col>
          <xdr:colOff>0</xdr:colOff>
          <xdr:row>7</xdr:row>
          <xdr:rowOff>0</xdr:rowOff>
        </xdr:to>
        <xdr:sp macro="" textlink="">
          <xdr:nvSpPr>
            <xdr:cNvPr id="10250" name="Group Box 10" hidden="1">
              <a:extLst>
                <a:ext uri="{63B3BB69-23CF-44E3-9099-C40C66FF867C}">
                  <a14:compatExt spid="_x0000_s1025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7</xdr:row>
          <xdr:rowOff>161925</xdr:rowOff>
        </xdr:from>
        <xdr:to>
          <xdr:col>6</xdr:col>
          <xdr:colOff>771525</xdr:colOff>
          <xdr:row>7</xdr:row>
          <xdr:rowOff>523875</xdr:rowOff>
        </xdr:to>
        <xdr:sp macro="" textlink="">
          <xdr:nvSpPr>
            <xdr:cNvPr id="10251" name="Option Button 11" hidden="1">
              <a:extLst>
                <a:ext uri="{63B3BB69-23CF-44E3-9099-C40C66FF867C}">
                  <a14:compatExt spid="_x0000_s102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1000" b="0" i="0" u="none" strike="noStrike" baseline="0">
                  <a:solidFill>
                    <a:srgbClr val="000000"/>
                  </a:solidFill>
                  <a:latin typeface="Genev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1209675</xdr:colOff>
          <xdr:row>7</xdr:row>
          <xdr:rowOff>180975</xdr:rowOff>
        </xdr:from>
        <xdr:to>
          <xdr:col>6</xdr:col>
          <xdr:colOff>1771650</xdr:colOff>
          <xdr:row>7</xdr:row>
          <xdr:rowOff>514350</xdr:rowOff>
        </xdr:to>
        <xdr:sp macro="" textlink="">
          <xdr:nvSpPr>
            <xdr:cNvPr id="10252" name="Option Button 12" hidden="1">
              <a:extLst>
                <a:ext uri="{63B3BB69-23CF-44E3-9099-C40C66FF867C}">
                  <a14:compatExt spid="_x0000_s102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1000" b="0" i="0" u="none" strike="noStrike" baseline="0">
                  <a:solidFill>
                    <a:srgbClr val="000000"/>
                  </a:solidFill>
                  <a:latin typeface="Genev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7</xdr:row>
          <xdr:rowOff>0</xdr:rowOff>
        </xdr:from>
        <xdr:to>
          <xdr:col>7</xdr:col>
          <xdr:colOff>0</xdr:colOff>
          <xdr:row>8</xdr:row>
          <xdr:rowOff>0</xdr:rowOff>
        </xdr:to>
        <xdr:sp macro="" textlink="">
          <xdr:nvSpPr>
            <xdr:cNvPr id="10254" name="Group Box 14" hidden="1">
              <a:extLst>
                <a:ext uri="{63B3BB69-23CF-44E3-9099-C40C66FF867C}">
                  <a14:compatExt spid="_x0000_s1025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209550</xdr:colOff>
          <xdr:row>8</xdr:row>
          <xdr:rowOff>238125</xdr:rowOff>
        </xdr:from>
        <xdr:to>
          <xdr:col>6</xdr:col>
          <xdr:colOff>771525</xdr:colOff>
          <xdr:row>8</xdr:row>
          <xdr:rowOff>514350</xdr:rowOff>
        </xdr:to>
        <xdr:sp macro="" textlink="">
          <xdr:nvSpPr>
            <xdr:cNvPr id="10255" name="Option Button 15" hidden="1">
              <a:extLst>
                <a:ext uri="{63B3BB69-23CF-44E3-9099-C40C66FF867C}">
                  <a14:compatExt spid="_x0000_s102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1000" b="0" i="0" u="none" strike="noStrike" baseline="0">
                  <a:solidFill>
                    <a:srgbClr val="000000"/>
                  </a:solidFill>
                  <a:latin typeface="Genev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1228725</xdr:colOff>
          <xdr:row>8</xdr:row>
          <xdr:rowOff>228600</xdr:rowOff>
        </xdr:from>
        <xdr:to>
          <xdr:col>6</xdr:col>
          <xdr:colOff>1771650</xdr:colOff>
          <xdr:row>8</xdr:row>
          <xdr:rowOff>533400</xdr:rowOff>
        </xdr:to>
        <xdr:sp macro="" textlink="">
          <xdr:nvSpPr>
            <xdr:cNvPr id="10256" name="Option Button 16" hidden="1">
              <a:extLst>
                <a:ext uri="{63B3BB69-23CF-44E3-9099-C40C66FF867C}">
                  <a14:compatExt spid="_x0000_s102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1000" b="0" i="0" u="none" strike="noStrike" baseline="0">
                  <a:solidFill>
                    <a:srgbClr val="000000"/>
                  </a:solidFill>
                  <a:latin typeface="Genev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8</xdr:row>
          <xdr:rowOff>0</xdr:rowOff>
        </xdr:from>
        <xdr:to>
          <xdr:col>7</xdr:col>
          <xdr:colOff>0</xdr:colOff>
          <xdr:row>9</xdr:row>
          <xdr:rowOff>0</xdr:rowOff>
        </xdr:to>
        <xdr:sp macro="" textlink="">
          <xdr:nvSpPr>
            <xdr:cNvPr id="10257" name="Group Box 17" hidden="1">
              <a:extLst>
                <a:ext uri="{63B3BB69-23CF-44E3-9099-C40C66FF867C}">
                  <a14:compatExt spid="_x0000_s10257"/>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180975</xdr:colOff>
          <xdr:row>6</xdr:row>
          <xdr:rowOff>219075</xdr:rowOff>
        </xdr:from>
        <xdr:to>
          <xdr:col>6</xdr:col>
          <xdr:colOff>838200</xdr:colOff>
          <xdr:row>6</xdr:row>
          <xdr:rowOff>647700</xdr:rowOff>
        </xdr:to>
        <xdr:sp macro="" textlink="">
          <xdr:nvSpPr>
            <xdr:cNvPr id="6145" name="Option Button 1" hidden="1">
              <a:extLst>
                <a:ext uri="{63B3BB69-23CF-44E3-9099-C40C66FF867C}">
                  <a14:compatExt spid="_x0000_s61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1000" b="0" i="0" u="none" strike="noStrike" baseline="0">
                  <a:solidFill>
                    <a:srgbClr val="000000"/>
                  </a:solidFill>
                  <a:latin typeface="Genev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1000125</xdr:colOff>
          <xdr:row>6</xdr:row>
          <xdr:rowOff>219075</xdr:rowOff>
        </xdr:from>
        <xdr:to>
          <xdr:col>6</xdr:col>
          <xdr:colOff>1733550</xdr:colOff>
          <xdr:row>6</xdr:row>
          <xdr:rowOff>647700</xdr:rowOff>
        </xdr:to>
        <xdr:sp macro="" textlink="">
          <xdr:nvSpPr>
            <xdr:cNvPr id="6146" name="Option Button 2" hidden="1">
              <a:extLst>
                <a:ext uri="{63B3BB69-23CF-44E3-9099-C40C66FF867C}">
                  <a14:compatExt spid="_x0000_s61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1000" b="0" i="0" u="none" strike="noStrike" baseline="0">
                  <a:solidFill>
                    <a:srgbClr val="000000"/>
                  </a:solidFill>
                  <a:latin typeface="Genev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xdr:row>
          <xdr:rowOff>9525</xdr:rowOff>
        </xdr:from>
        <xdr:to>
          <xdr:col>6</xdr:col>
          <xdr:colOff>838200</xdr:colOff>
          <xdr:row>7</xdr:row>
          <xdr:rowOff>438150</xdr:rowOff>
        </xdr:to>
        <xdr:sp macro="" textlink="">
          <xdr:nvSpPr>
            <xdr:cNvPr id="6147" name="Option Button 3" hidden="1">
              <a:extLst>
                <a:ext uri="{63B3BB69-23CF-44E3-9099-C40C66FF867C}">
                  <a14:compatExt spid="_x0000_s61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1000" b="0" i="0" u="none" strike="noStrike" baseline="0">
                  <a:solidFill>
                    <a:srgbClr val="000000"/>
                  </a:solidFill>
                  <a:latin typeface="Genev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1000125</xdr:colOff>
          <xdr:row>7</xdr:row>
          <xdr:rowOff>0</xdr:rowOff>
        </xdr:from>
        <xdr:to>
          <xdr:col>6</xdr:col>
          <xdr:colOff>1733550</xdr:colOff>
          <xdr:row>7</xdr:row>
          <xdr:rowOff>428625</xdr:rowOff>
        </xdr:to>
        <xdr:sp macro="" textlink="">
          <xdr:nvSpPr>
            <xdr:cNvPr id="6149" name="Option Button 5" hidden="1">
              <a:extLst>
                <a:ext uri="{63B3BB69-23CF-44E3-9099-C40C66FF867C}">
                  <a14:compatExt spid="_x0000_s61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1000" b="0" i="0" u="none" strike="noStrike" baseline="0">
                  <a:solidFill>
                    <a:srgbClr val="000000"/>
                  </a:solidFill>
                  <a:latin typeface="Genev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xdr:row>
          <xdr:rowOff>257175</xdr:rowOff>
        </xdr:from>
        <xdr:to>
          <xdr:col>7</xdr:col>
          <xdr:colOff>0</xdr:colOff>
          <xdr:row>7</xdr:row>
          <xdr:rowOff>0</xdr:rowOff>
        </xdr:to>
        <xdr:sp macro="" textlink="">
          <xdr:nvSpPr>
            <xdr:cNvPr id="6151" name="Group Box 7" hidden="1">
              <a:extLst>
                <a:ext uri="{63B3BB69-23CF-44E3-9099-C40C66FF867C}">
                  <a14:compatExt spid="_x0000_s615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8</xdr:row>
          <xdr:rowOff>104775</xdr:rowOff>
        </xdr:from>
        <xdr:to>
          <xdr:col>6</xdr:col>
          <xdr:colOff>762000</xdr:colOff>
          <xdr:row>8</xdr:row>
          <xdr:rowOff>381000</xdr:rowOff>
        </xdr:to>
        <xdr:sp macro="" textlink="">
          <xdr:nvSpPr>
            <xdr:cNvPr id="6154" name="Option Button 10" hidden="1">
              <a:extLst>
                <a:ext uri="{63B3BB69-23CF-44E3-9099-C40C66FF867C}">
                  <a14:compatExt spid="_x0000_s61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1000" b="0" i="0" u="none" strike="noStrike" baseline="0">
                  <a:solidFill>
                    <a:srgbClr val="000000"/>
                  </a:solidFill>
                  <a:latin typeface="Geneva"/>
                </a:rPr>
                <a:t>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7</xdr:row>
          <xdr:rowOff>0</xdr:rowOff>
        </xdr:from>
        <xdr:to>
          <xdr:col>7</xdr:col>
          <xdr:colOff>0</xdr:colOff>
          <xdr:row>8</xdr:row>
          <xdr:rowOff>0</xdr:rowOff>
        </xdr:to>
        <xdr:sp macro="" textlink="">
          <xdr:nvSpPr>
            <xdr:cNvPr id="6155" name="Group Box 11" hidden="1">
              <a:extLst>
                <a:ext uri="{63B3BB69-23CF-44E3-9099-C40C66FF867C}">
                  <a14:compatExt spid="_x0000_s615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6</xdr:row>
          <xdr:rowOff>0</xdr:rowOff>
        </xdr:from>
        <xdr:to>
          <xdr:col>7</xdr:col>
          <xdr:colOff>0</xdr:colOff>
          <xdr:row>7</xdr:row>
          <xdr:rowOff>0</xdr:rowOff>
        </xdr:to>
        <xdr:sp macro="" textlink="">
          <xdr:nvSpPr>
            <xdr:cNvPr id="6156" name="Group Box 12" hidden="1">
              <a:extLst>
                <a:ext uri="{63B3BB69-23CF-44E3-9099-C40C66FF867C}">
                  <a14:compatExt spid="_x0000_s615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1009650</xdr:colOff>
          <xdr:row>8</xdr:row>
          <xdr:rowOff>85725</xdr:rowOff>
        </xdr:from>
        <xdr:to>
          <xdr:col>6</xdr:col>
          <xdr:colOff>1590675</xdr:colOff>
          <xdr:row>8</xdr:row>
          <xdr:rowOff>428625</xdr:rowOff>
        </xdr:to>
        <xdr:sp macro="" textlink="">
          <xdr:nvSpPr>
            <xdr:cNvPr id="6157" name="Option Button 13" hidden="1">
              <a:extLst>
                <a:ext uri="{63B3BB69-23CF-44E3-9099-C40C66FF867C}">
                  <a14:compatExt spid="_x0000_s61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1000" b="0" i="0" u="none" strike="noStrike" baseline="0">
                  <a:solidFill>
                    <a:srgbClr val="000000"/>
                  </a:solidFill>
                  <a:latin typeface="Genev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9</xdr:row>
          <xdr:rowOff>28575</xdr:rowOff>
        </xdr:from>
        <xdr:to>
          <xdr:col>6</xdr:col>
          <xdr:colOff>752475</xdr:colOff>
          <xdr:row>10</xdr:row>
          <xdr:rowOff>9525</xdr:rowOff>
        </xdr:to>
        <xdr:sp macro="" textlink="">
          <xdr:nvSpPr>
            <xdr:cNvPr id="6158" name="Option Button 14" hidden="1">
              <a:extLst>
                <a:ext uri="{63B3BB69-23CF-44E3-9099-C40C66FF867C}">
                  <a14:compatExt spid="_x0000_s61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1000" b="0" i="0" u="none" strike="noStrike" baseline="0">
                  <a:solidFill>
                    <a:srgbClr val="000000"/>
                  </a:solidFill>
                  <a:latin typeface="Genev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1009650</xdr:colOff>
          <xdr:row>9</xdr:row>
          <xdr:rowOff>47625</xdr:rowOff>
        </xdr:from>
        <xdr:to>
          <xdr:col>6</xdr:col>
          <xdr:colOff>1809750</xdr:colOff>
          <xdr:row>9</xdr:row>
          <xdr:rowOff>466725</xdr:rowOff>
        </xdr:to>
        <xdr:sp macro="" textlink="">
          <xdr:nvSpPr>
            <xdr:cNvPr id="6159" name="Option Button 15" hidden="1">
              <a:extLst>
                <a:ext uri="{63B3BB69-23CF-44E3-9099-C40C66FF867C}">
                  <a14:compatExt spid="_x0000_s61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1000" b="0" i="0" u="none" strike="noStrike" baseline="0">
                  <a:solidFill>
                    <a:srgbClr val="000000"/>
                  </a:solidFill>
                  <a:latin typeface="Genev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8</xdr:row>
          <xdr:rowOff>0</xdr:rowOff>
        </xdr:from>
        <xdr:to>
          <xdr:col>7</xdr:col>
          <xdr:colOff>0</xdr:colOff>
          <xdr:row>9</xdr:row>
          <xdr:rowOff>0</xdr:rowOff>
        </xdr:to>
        <xdr:sp macro="" textlink="">
          <xdr:nvSpPr>
            <xdr:cNvPr id="6163" name="Group Box 19" hidden="1">
              <a:extLst>
                <a:ext uri="{63B3BB69-23CF-44E3-9099-C40C66FF867C}">
                  <a14:compatExt spid="_x0000_s616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9</xdr:row>
          <xdr:rowOff>0</xdr:rowOff>
        </xdr:from>
        <xdr:to>
          <xdr:col>7</xdr:col>
          <xdr:colOff>0</xdr:colOff>
          <xdr:row>10</xdr:row>
          <xdr:rowOff>9525</xdr:rowOff>
        </xdr:to>
        <xdr:sp macro="" textlink="">
          <xdr:nvSpPr>
            <xdr:cNvPr id="6164" name="Group Box 20" hidden="1">
              <a:extLst>
                <a:ext uri="{63B3BB69-23CF-44E3-9099-C40C66FF867C}">
                  <a14:compatExt spid="_x0000_s616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0</xdr:colOff>
          <xdr:row>6</xdr:row>
          <xdr:rowOff>38100</xdr:rowOff>
        </xdr:from>
        <xdr:to>
          <xdr:col>7</xdr:col>
          <xdr:colOff>9525</xdr:colOff>
          <xdr:row>6</xdr:row>
          <xdr:rowOff>495300</xdr:rowOff>
        </xdr:to>
        <xdr:sp macro="" textlink="">
          <xdr:nvSpPr>
            <xdr:cNvPr id="7187" name="Option Button 19" hidden="1">
              <a:extLst>
                <a:ext uri="{63B3BB69-23CF-44E3-9099-C40C66FF867C}">
                  <a14:compatExt spid="_x0000_s71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1000" b="0" i="0" u="none" strike="noStrike" baseline="0">
                  <a:solidFill>
                    <a:srgbClr val="000000"/>
                  </a:solidFill>
                  <a:latin typeface="Genev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6</xdr:row>
          <xdr:rowOff>0</xdr:rowOff>
        </xdr:from>
        <xdr:to>
          <xdr:col>8</xdr:col>
          <xdr:colOff>0</xdr:colOff>
          <xdr:row>7</xdr:row>
          <xdr:rowOff>0</xdr:rowOff>
        </xdr:to>
        <xdr:sp macro="" textlink="">
          <xdr:nvSpPr>
            <xdr:cNvPr id="7188" name="Option Button 20" hidden="1">
              <a:extLst>
                <a:ext uri="{63B3BB69-23CF-44E3-9099-C40C66FF867C}">
                  <a14:compatExt spid="_x0000_s71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1000" b="0" i="0" u="none" strike="noStrike" baseline="0">
                  <a:solidFill>
                    <a:srgbClr val="000000"/>
                  </a:solidFill>
                  <a:latin typeface="Genev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6</xdr:row>
          <xdr:rowOff>0</xdr:rowOff>
        </xdr:from>
        <xdr:to>
          <xdr:col>8</xdr:col>
          <xdr:colOff>0</xdr:colOff>
          <xdr:row>7</xdr:row>
          <xdr:rowOff>0</xdr:rowOff>
        </xdr:to>
        <xdr:sp macro="" textlink="">
          <xdr:nvSpPr>
            <xdr:cNvPr id="7191" name="Group Box 23" hidden="1">
              <a:extLst>
                <a:ext uri="{63B3BB69-23CF-44E3-9099-C40C66FF867C}">
                  <a14:compatExt spid="_x0000_s719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7</xdr:row>
          <xdr:rowOff>0</xdr:rowOff>
        </xdr:from>
        <xdr:to>
          <xdr:col>6</xdr:col>
          <xdr:colOff>600075</xdr:colOff>
          <xdr:row>7</xdr:row>
          <xdr:rowOff>495300</xdr:rowOff>
        </xdr:to>
        <xdr:sp macro="" textlink="">
          <xdr:nvSpPr>
            <xdr:cNvPr id="7193" name="Option Button 25" hidden="1">
              <a:extLst>
                <a:ext uri="{63B3BB69-23CF-44E3-9099-C40C66FF867C}">
                  <a14:compatExt spid="_x0000_s71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1000" b="0" i="0" u="none" strike="noStrike" baseline="0">
                  <a:solidFill>
                    <a:srgbClr val="000000"/>
                  </a:solidFill>
                  <a:latin typeface="Genev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7</xdr:row>
          <xdr:rowOff>0</xdr:rowOff>
        </xdr:from>
        <xdr:to>
          <xdr:col>8</xdr:col>
          <xdr:colOff>0</xdr:colOff>
          <xdr:row>7</xdr:row>
          <xdr:rowOff>504825</xdr:rowOff>
        </xdr:to>
        <xdr:sp macro="" textlink="">
          <xdr:nvSpPr>
            <xdr:cNvPr id="7194" name="Option Button 26" hidden="1">
              <a:extLst>
                <a:ext uri="{63B3BB69-23CF-44E3-9099-C40C66FF867C}">
                  <a14:compatExt spid="_x0000_s71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1000" b="0" i="0" u="none" strike="noStrike" baseline="0">
                  <a:solidFill>
                    <a:srgbClr val="000000"/>
                  </a:solidFill>
                  <a:latin typeface="Genev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7</xdr:row>
          <xdr:rowOff>0</xdr:rowOff>
        </xdr:from>
        <xdr:to>
          <xdr:col>8</xdr:col>
          <xdr:colOff>0</xdr:colOff>
          <xdr:row>8</xdr:row>
          <xdr:rowOff>0</xdr:rowOff>
        </xdr:to>
        <xdr:sp macro="" textlink="">
          <xdr:nvSpPr>
            <xdr:cNvPr id="7195" name="Group Box 27" hidden="1">
              <a:extLst>
                <a:ext uri="{63B3BB69-23CF-44E3-9099-C40C66FF867C}">
                  <a14:compatExt spid="_x0000_s719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76200</xdr:colOff>
          <xdr:row>7</xdr:row>
          <xdr:rowOff>76200</xdr:rowOff>
        </xdr:from>
        <xdr:to>
          <xdr:col>6</xdr:col>
          <xdr:colOff>866775</xdr:colOff>
          <xdr:row>8</xdr:row>
          <xdr:rowOff>47625</xdr:rowOff>
        </xdr:to>
        <xdr:sp macro="" textlink="">
          <xdr:nvSpPr>
            <xdr:cNvPr id="1039" name="Option Button 15" hidden="1">
              <a:extLst>
                <a:ext uri="{63B3BB69-23CF-44E3-9099-C40C66FF867C}">
                  <a14:compatExt spid="_x0000_s10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1000" b="0" i="0" u="none" strike="noStrike" baseline="0">
                  <a:solidFill>
                    <a:srgbClr val="000000"/>
                  </a:solidFill>
                  <a:latin typeface="Genev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619125</xdr:colOff>
          <xdr:row>7</xdr:row>
          <xdr:rowOff>85725</xdr:rowOff>
        </xdr:from>
        <xdr:to>
          <xdr:col>6</xdr:col>
          <xdr:colOff>1628775</xdr:colOff>
          <xdr:row>8</xdr:row>
          <xdr:rowOff>0</xdr:rowOff>
        </xdr:to>
        <xdr:sp macro="" textlink="">
          <xdr:nvSpPr>
            <xdr:cNvPr id="1040" name="Option Button 16" hidden="1">
              <a:extLst>
                <a:ext uri="{63B3BB69-23CF-44E3-9099-C40C66FF867C}">
                  <a14:compatExt spid="_x0000_s10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1000" b="0" i="0" u="none" strike="noStrike" baseline="0">
                  <a:solidFill>
                    <a:srgbClr val="000000"/>
                  </a:solidFill>
                  <a:latin typeface="Geneva"/>
                </a:rPr>
                <a:t>No</a:t>
              </a:r>
            </a:p>
          </xdr:txBody>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pepi\mapinfo\Users\tlawrence53\Library\Mail%20Downloads\filtrationdevice-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s>
    <sheetDataSet>
      <sheetData sheetId="0"/>
      <sheetData sheetId="1">
        <row r="2">
          <cell r="T2" t="str">
            <v>COUNTY</v>
          </cell>
        </row>
        <row r="3">
          <cell r="A3" t="str">
            <v>BERKELEY</v>
          </cell>
          <cell r="B3">
            <v>9.1549962759017944E-2</v>
          </cell>
          <cell r="C3">
            <v>0.11417174339294434</v>
          </cell>
          <cell r="T3" t="str">
            <v>ALAMEDA</v>
          </cell>
        </row>
        <row r="4">
          <cell r="A4" t="str">
            <v>HAYWARD 4 ESE</v>
          </cell>
          <cell r="B4">
            <v>0.22774997353553772</v>
          </cell>
          <cell r="C4">
            <v>0.10433976352214813</v>
          </cell>
          <cell r="T4" t="str">
            <v>ALPINE</v>
          </cell>
        </row>
        <row r="5">
          <cell r="A5" t="str">
            <v>OAKLAND WSO AP</v>
          </cell>
          <cell r="B5">
            <v>2.1363638341426849E-2</v>
          </cell>
          <cell r="C5">
            <v>9.2771239578723907E-2</v>
          </cell>
          <cell r="T5" t="str">
            <v>AMADOR</v>
          </cell>
        </row>
        <row r="6">
          <cell r="A6" t="str">
            <v>UPPER SAN LEANDRO FLTR</v>
          </cell>
          <cell r="B6">
            <v>4.9319140613079071E-2</v>
          </cell>
          <cell r="C6">
            <v>0.10424163192510605</v>
          </cell>
          <cell r="T6" t="str">
            <v>BUTTE</v>
          </cell>
        </row>
        <row r="7">
          <cell r="A7" t="str">
            <v>MARKLEEVILLE</v>
          </cell>
          <cell r="B7">
            <v>0.45160028338432312</v>
          </cell>
          <cell r="C7">
            <v>9.6409827470779419E-2</v>
          </cell>
          <cell r="T7" t="str">
            <v>CALAVERAS</v>
          </cell>
        </row>
        <row r="8">
          <cell r="A8" t="str">
            <v>FIDDLETOWN DEXTER RANCH</v>
          </cell>
          <cell r="B8">
            <v>9.9808953702449799E-2</v>
          </cell>
          <cell r="C8">
            <v>0.1919749528169632</v>
          </cell>
          <cell r="T8" t="str">
            <v>COLUSA</v>
          </cell>
        </row>
        <row r="9">
          <cell r="A9" t="str">
            <v>TIGER CREEK PH</v>
          </cell>
          <cell r="B9">
            <v>0.88549983501434326</v>
          </cell>
          <cell r="C9">
            <v>0.13974334299564362</v>
          </cell>
          <cell r="T9" t="str">
            <v>CONTRA_COSTA</v>
          </cell>
        </row>
        <row r="10">
          <cell r="A10" t="str">
            <v>BRUSH CREEK R S</v>
          </cell>
          <cell r="B10">
            <v>0.27074989676475525</v>
          </cell>
          <cell r="C10">
            <v>0.19587834179401398</v>
          </cell>
          <cell r="T10" t="str">
            <v>DEL_NORTE</v>
          </cell>
        </row>
        <row r="11">
          <cell r="A11" t="str">
            <v>CHICO UNIVERSITY FARM</v>
          </cell>
          <cell r="B11">
            <v>0.196292445063591</v>
          </cell>
          <cell r="C11">
            <v>0.10522806644439697</v>
          </cell>
          <cell r="T11" t="str">
            <v>EL_DORADO</v>
          </cell>
        </row>
        <row r="12">
          <cell r="A12" t="str">
            <v>OROVILLE R S</v>
          </cell>
          <cell r="B12">
            <v>9.9622450768947601E-2</v>
          </cell>
          <cell r="C12">
            <v>0.10750821232795715</v>
          </cell>
          <cell r="T12" t="str">
            <v>FRESNO</v>
          </cell>
        </row>
        <row r="13">
          <cell r="A13" t="str">
            <v>STIRLING CITY R S</v>
          </cell>
          <cell r="B13">
            <v>9.9867649376392365E-2</v>
          </cell>
          <cell r="C13">
            <v>0.19859208166599274</v>
          </cell>
          <cell r="T13" t="str">
            <v>GLENN</v>
          </cell>
        </row>
        <row r="14">
          <cell r="A14" t="str">
            <v>CALAVERAS R S</v>
          </cell>
          <cell r="B14">
            <v>1.7184990644454956</v>
          </cell>
          <cell r="C14">
            <v>0.14059390127658844</v>
          </cell>
          <cell r="T14" t="str">
            <v>HUMBOLDT</v>
          </cell>
        </row>
        <row r="15">
          <cell r="A15" t="str">
            <v>CAMP PARDEE</v>
          </cell>
          <cell r="B15">
            <v>9.975741058588028E-2</v>
          </cell>
          <cell r="C15">
            <v>9.8670937120914459E-2</v>
          </cell>
          <cell r="T15" t="str">
            <v>IMPERIAL</v>
          </cell>
        </row>
        <row r="16">
          <cell r="A16" t="str">
            <v>WILLIAMS</v>
          </cell>
          <cell r="B16">
            <v>0.33012506365776062</v>
          </cell>
          <cell r="C16">
            <v>9.3370735645294189E-2</v>
          </cell>
          <cell r="T16" t="str">
            <v>INYO</v>
          </cell>
        </row>
        <row r="17">
          <cell r="A17" t="str">
            <v>BRENTWOOD 6 SW</v>
          </cell>
          <cell r="B17">
            <v>0.26150023937225342</v>
          </cell>
          <cell r="C17">
            <v>9.4381332397460938E-2</v>
          </cell>
          <cell r="T17" t="str">
            <v>KERN</v>
          </cell>
        </row>
        <row r="18">
          <cell r="A18" t="str">
            <v>MARTINEZ 2 S</v>
          </cell>
          <cell r="B18">
            <v>0.10149979591369629</v>
          </cell>
          <cell r="C18">
            <v>9.9812619388103485E-2</v>
          </cell>
          <cell r="T18" t="str">
            <v>KINGS</v>
          </cell>
        </row>
        <row r="19">
          <cell r="A19" t="str">
            <v>WALNUT CREEK 2 ENE</v>
          </cell>
          <cell r="B19">
            <v>0.17375002801418304</v>
          </cell>
          <cell r="C19">
            <v>9.2580370604991913E-2</v>
          </cell>
          <cell r="T19" t="str">
            <v>LAKE</v>
          </cell>
        </row>
        <row r="20">
          <cell r="A20" t="str">
            <v>CRESCENT CITY MNTC STN</v>
          </cell>
          <cell r="B20">
            <v>9.9785491824150085E-2</v>
          </cell>
          <cell r="C20">
            <v>0.13139614462852478</v>
          </cell>
          <cell r="T20" t="str">
            <v>LASSEN</v>
          </cell>
        </row>
        <row r="21">
          <cell r="A21" t="str">
            <v>KLAMATH</v>
          </cell>
          <cell r="B21">
            <v>9.890814870595932E-2</v>
          </cell>
          <cell r="C21">
            <v>0.19142979383468628</v>
          </cell>
          <cell r="T21" t="str">
            <v>LOS_ANGELES</v>
          </cell>
        </row>
        <row r="22">
          <cell r="A22" t="str">
            <v>BLODGETT EXP FOREST</v>
          </cell>
          <cell r="B22">
            <v>9.9077358841896057E-2</v>
          </cell>
          <cell r="C22">
            <v>0.19701659679412842</v>
          </cell>
          <cell r="T22" t="str">
            <v>MADERA</v>
          </cell>
        </row>
        <row r="23">
          <cell r="A23" t="str">
            <v>GEORGETOWN R S</v>
          </cell>
          <cell r="B23">
            <v>9.9875003099441528E-2</v>
          </cell>
          <cell r="C23">
            <v>0.19823789596557617</v>
          </cell>
          <cell r="T23" t="str">
            <v>MARIN</v>
          </cell>
        </row>
        <row r="24">
          <cell r="A24" t="str">
            <v>KYBURZ STRAWBERRY</v>
          </cell>
          <cell r="B24">
            <v>2.0799999237060547</v>
          </cell>
          <cell r="C24">
            <v>9.3709468841552734E-2</v>
          </cell>
          <cell r="T24" t="str">
            <v>MARIPOSA</v>
          </cell>
        </row>
        <row r="25">
          <cell r="A25" t="str">
            <v>PLACERVILLE DISP PLANT</v>
          </cell>
          <cell r="B25">
            <v>9.9165059626102448E-2</v>
          </cell>
          <cell r="C25">
            <v>0.19387735426425934</v>
          </cell>
          <cell r="T25" t="str">
            <v>MENDOCINO</v>
          </cell>
        </row>
        <row r="26">
          <cell r="A26" t="str">
            <v>ROBBS PEAK P H</v>
          </cell>
          <cell r="B26">
            <v>9.8995834589004517E-2</v>
          </cell>
          <cell r="C26">
            <v>0.1944868266582489</v>
          </cell>
          <cell r="T26" t="str">
            <v>MERCED</v>
          </cell>
        </row>
        <row r="27">
          <cell r="A27" t="str">
            <v>BALCH POWER HOUSE</v>
          </cell>
          <cell r="B27">
            <v>9.9891990423202515E-2</v>
          </cell>
          <cell r="C27">
            <v>0.19123272597789764</v>
          </cell>
          <cell r="T27" t="str">
            <v>MODOC</v>
          </cell>
        </row>
        <row r="28">
          <cell r="A28" t="str">
            <v>COALINGA 1 SE</v>
          </cell>
          <cell r="B28">
            <v>0.13483338057994843</v>
          </cell>
          <cell r="C28">
            <v>8.2049988210201263E-2</v>
          </cell>
          <cell r="T28" t="str">
            <v>MONO</v>
          </cell>
        </row>
        <row r="29">
          <cell r="A29" t="str">
            <v>FLORENCE LAKE</v>
          </cell>
          <cell r="B29">
            <v>0.30600085854530334</v>
          </cell>
          <cell r="C29">
            <v>0.1078469306230545</v>
          </cell>
          <cell r="T29" t="str">
            <v>MONTEREY</v>
          </cell>
        </row>
        <row r="30">
          <cell r="A30" t="str">
            <v>FRESNO YOSEMITE INTL</v>
          </cell>
          <cell r="B30">
            <v>1.4288453385233879E-2</v>
          </cell>
          <cell r="C30">
            <v>8.3592027425765991E-2</v>
          </cell>
          <cell r="T30" t="str">
            <v>NAPA</v>
          </cell>
        </row>
        <row r="31">
          <cell r="A31" t="str">
            <v>HUNTINGTON LAKE</v>
          </cell>
          <cell r="B31">
            <v>0.19881431758403778</v>
          </cell>
          <cell r="C31">
            <v>0.19101758301258087</v>
          </cell>
          <cell r="T31" t="str">
            <v>NEVADA</v>
          </cell>
        </row>
        <row r="32">
          <cell r="A32" t="str">
            <v>STONY GORGE RESERVOIR</v>
          </cell>
          <cell r="B32">
            <v>0.26199996471405029</v>
          </cell>
          <cell r="C32">
            <v>9.7791761159896851E-2</v>
          </cell>
          <cell r="T32" t="str">
            <v>ORANGE</v>
          </cell>
        </row>
        <row r="33">
          <cell r="A33" t="str">
            <v>EUREKA WFO WOODLEY IS</v>
          </cell>
          <cell r="B33">
            <v>1.2345463968813419E-2</v>
          </cell>
          <cell r="C33">
            <v>9.0708345174789429E-2</v>
          </cell>
          <cell r="T33" t="str">
            <v>PLACER</v>
          </cell>
        </row>
        <row r="34">
          <cell r="A34" t="str">
            <v>KNEELAND 10 SSE</v>
          </cell>
          <cell r="B34">
            <v>0.80849921703338623</v>
          </cell>
          <cell r="C34">
            <v>0.10558134317398071</v>
          </cell>
          <cell r="T34" t="str">
            <v>PLUMAS</v>
          </cell>
        </row>
        <row r="35">
          <cell r="A35" t="str">
            <v>MIRANDA 4 SE</v>
          </cell>
          <cell r="B35">
            <v>9.9022641777992249E-2</v>
          </cell>
          <cell r="C35">
            <v>0.19541770219802856</v>
          </cell>
          <cell r="T35" t="str">
            <v>RIVERSIDE</v>
          </cell>
        </row>
        <row r="36">
          <cell r="A36" t="str">
            <v>MIRANDA SPENGLER RANCH</v>
          </cell>
          <cell r="B36">
            <v>0.56700068712234497</v>
          </cell>
          <cell r="C36">
            <v>0.10714183747768402</v>
          </cell>
          <cell r="T36" t="str">
            <v>SACRAMENTO</v>
          </cell>
        </row>
        <row r="37">
          <cell r="A37" t="str">
            <v>EL CENTRO 2 SSW</v>
          </cell>
          <cell r="B37">
            <v>0.19519999623298645</v>
          </cell>
          <cell r="C37">
            <v>9.7841821610927582E-2</v>
          </cell>
          <cell r="T37" t="str">
            <v>SAN_BENITO</v>
          </cell>
        </row>
        <row r="38">
          <cell r="A38" t="str">
            <v>BISHOP AP</v>
          </cell>
          <cell r="B38">
            <v>1.4866658486425877E-2</v>
          </cell>
          <cell r="C38">
            <v>8.0834895372390747E-2</v>
          </cell>
          <cell r="T38" t="str">
            <v>SAN_BERNARDINO</v>
          </cell>
        </row>
        <row r="39">
          <cell r="A39" t="str">
            <v>LONE PINE COTTONWOOD PH</v>
          </cell>
          <cell r="B39">
            <v>0.11824994534254074</v>
          </cell>
          <cell r="C39">
            <v>9.8609574139118195E-2</v>
          </cell>
          <cell r="T39" t="str">
            <v>SAN_DIEGO</v>
          </cell>
        </row>
        <row r="40">
          <cell r="A40" t="str">
            <v>BAKERSFIELD AP</v>
          </cell>
          <cell r="B40">
            <v>2.5296295061707497E-2</v>
          </cell>
          <cell r="C40">
            <v>6.5557070076465607E-2</v>
          </cell>
          <cell r="T40" t="str">
            <v>SAN_FRANCISCO</v>
          </cell>
        </row>
        <row r="41">
          <cell r="A41" t="str">
            <v>BORON</v>
          </cell>
          <cell r="B41">
            <v>0.29699999094009399</v>
          </cell>
          <cell r="C41">
            <v>9.0513348579406738E-2</v>
          </cell>
          <cell r="T41" t="str">
            <v>SAN_JOAQUIN</v>
          </cell>
        </row>
        <row r="42">
          <cell r="A42" t="str">
            <v>GLENNVILLE FULTON RNGR</v>
          </cell>
          <cell r="B42">
            <v>0.29759997129440308</v>
          </cell>
          <cell r="C42">
            <v>0.1114354208111763</v>
          </cell>
          <cell r="T42" t="str">
            <v>SAN_LUIS_OBISPO</v>
          </cell>
        </row>
        <row r="43">
          <cell r="A43" t="str">
            <v>LOST HILLS</v>
          </cell>
          <cell r="B43">
            <v>0.17666664719581604</v>
          </cell>
          <cell r="C43">
            <v>8.0126561224460602E-2</v>
          </cell>
          <cell r="T43" t="str">
            <v>SAN_MATEO</v>
          </cell>
        </row>
        <row r="44">
          <cell r="A44" t="str">
            <v>MOJAVE</v>
          </cell>
          <cell r="B44">
            <v>0.19512501358985901</v>
          </cell>
          <cell r="C44">
            <v>9.7801066935062408E-2</v>
          </cell>
          <cell r="T44" t="str">
            <v>SANTA_BARBARA</v>
          </cell>
        </row>
        <row r="45">
          <cell r="A45" t="str">
            <v>TAFT</v>
          </cell>
          <cell r="B45">
            <v>0.1652500331401825</v>
          </cell>
          <cell r="C45">
            <v>8.7760627269744873E-2</v>
          </cell>
          <cell r="T45" t="str">
            <v>SANTA_CLARA</v>
          </cell>
        </row>
        <row r="46">
          <cell r="A46" t="str">
            <v>TEHACHAPI AIRPORT</v>
          </cell>
          <cell r="B46">
            <v>9.9723853170871735E-2</v>
          </cell>
          <cell r="C46">
            <v>9.7617708146572113E-2</v>
          </cell>
          <cell r="T46" t="str">
            <v>SANTA_CRUZ</v>
          </cell>
        </row>
        <row r="47">
          <cell r="A47" t="str">
            <v>WELDON 1 WSW</v>
          </cell>
          <cell r="B47">
            <v>0.22599996626377106</v>
          </cell>
          <cell r="C47">
            <v>9.6425659954547882E-2</v>
          </cell>
          <cell r="T47" t="str">
            <v>SHASTA</v>
          </cell>
        </row>
        <row r="48">
          <cell r="A48" t="str">
            <v>CORCORAN IRRIG DIST</v>
          </cell>
          <cell r="B48">
            <v>9.9028252065181732E-2</v>
          </cell>
          <cell r="C48">
            <v>9.5684275031089783E-2</v>
          </cell>
          <cell r="T48" t="str">
            <v>SIERRA</v>
          </cell>
        </row>
        <row r="49">
          <cell r="A49" t="str">
            <v>CLEARLAKE 4 SE</v>
          </cell>
          <cell r="B49">
            <v>9.9342107772827148E-2</v>
          </cell>
          <cell r="C49">
            <v>9.9548481404781342E-2</v>
          </cell>
          <cell r="T49" t="str">
            <v>SISKIYOU</v>
          </cell>
        </row>
        <row r="50">
          <cell r="A50" t="str">
            <v>MAHNKE</v>
          </cell>
          <cell r="B50">
            <v>0.59716618061065674</v>
          </cell>
          <cell r="C50">
            <v>0.14810352027416229</v>
          </cell>
          <cell r="T50" t="str">
            <v>SOLANO</v>
          </cell>
        </row>
        <row r="51">
          <cell r="A51" t="str">
            <v>BIEBER</v>
          </cell>
          <cell r="B51">
            <v>0.33356252312660217</v>
          </cell>
          <cell r="C51">
            <v>8.4876194596290588E-2</v>
          </cell>
          <cell r="T51" t="str">
            <v>SONOMA</v>
          </cell>
        </row>
        <row r="52">
          <cell r="A52" t="str">
            <v>MILFORD LAUFMAN RS</v>
          </cell>
          <cell r="B52">
            <v>0.16274984180927277</v>
          </cell>
          <cell r="C52">
            <v>9.7183175384998322E-2</v>
          </cell>
          <cell r="T52" t="str">
            <v>STANISLAUS</v>
          </cell>
        </row>
        <row r="53">
          <cell r="A53" t="str">
            <v>SUSANVILLE 1 WNW</v>
          </cell>
          <cell r="B53">
            <v>0.24349993467330933</v>
          </cell>
          <cell r="C53">
            <v>9.4879649579524994E-2</v>
          </cell>
          <cell r="T53" t="str">
            <v>TEHAMA</v>
          </cell>
        </row>
        <row r="54">
          <cell r="A54" t="str">
            <v>TERMO 1 E</v>
          </cell>
          <cell r="B54">
            <v>0.19741666316986084</v>
          </cell>
          <cell r="C54">
            <v>9.0290360152721405E-2</v>
          </cell>
          <cell r="T54" t="str">
            <v>TRINITY</v>
          </cell>
        </row>
        <row r="55">
          <cell r="A55" t="str">
            <v>ACTON ESCONDIDO FC261</v>
          </cell>
          <cell r="B55">
            <v>0.19028572738170624</v>
          </cell>
          <cell r="C55">
            <v>0.10139768570661545</v>
          </cell>
          <cell r="T55" t="str">
            <v>TULARE</v>
          </cell>
        </row>
        <row r="56">
          <cell r="A56" t="str">
            <v>ALISO CANYON OAT MTN FC</v>
          </cell>
          <cell r="B56">
            <v>0.49775013327598572</v>
          </cell>
          <cell r="C56">
            <v>0.17703628540039063</v>
          </cell>
          <cell r="T56" t="str">
            <v>TUOLUMNE</v>
          </cell>
        </row>
        <row r="57">
          <cell r="A57" t="str">
            <v>BEL AIR FC-10A</v>
          </cell>
          <cell r="B57">
            <v>0.45250004529953003</v>
          </cell>
          <cell r="C57">
            <v>0.19123673439025879</v>
          </cell>
          <cell r="T57" t="str">
            <v>VENTURA</v>
          </cell>
        </row>
        <row r="58">
          <cell r="A58" t="str">
            <v>BIG PINES PARK FC83B</v>
          </cell>
          <cell r="B58">
            <v>0.19728127121925354</v>
          </cell>
          <cell r="C58">
            <v>0.17997929453849792</v>
          </cell>
          <cell r="T58" t="str">
            <v>YOLO</v>
          </cell>
        </row>
        <row r="59">
          <cell r="A59" t="str">
            <v>BIRMINGHAM GEN HOSP</v>
          </cell>
          <cell r="B59">
            <v>0.42625007033348083</v>
          </cell>
          <cell r="C59">
            <v>0.14038318395614624</v>
          </cell>
          <cell r="T59" t="str">
            <v>YUBA</v>
          </cell>
        </row>
        <row r="60">
          <cell r="A60" t="str">
            <v>BURBANK VALLEY PUMP PLA</v>
          </cell>
          <cell r="B60">
            <v>0.11774994432926178</v>
          </cell>
          <cell r="C60">
            <v>0.14880220592021942</v>
          </cell>
          <cell r="T60" t="str">
            <v>AREA</v>
          </cell>
        </row>
        <row r="61">
          <cell r="A61" t="str">
            <v>CHATSWORTH RESERVOIR</v>
          </cell>
          <cell r="B61">
            <v>0.56100010871887207</v>
          </cell>
          <cell r="C61">
            <v>0.13389626145362854</v>
          </cell>
        </row>
        <row r="62">
          <cell r="A62" t="str">
            <v>DIAMOND BAR</v>
          </cell>
          <cell r="B62">
            <v>0.39049988985061646</v>
          </cell>
          <cell r="C62">
            <v>0.14623512327671051</v>
          </cell>
        </row>
        <row r="63">
          <cell r="A63" t="str">
            <v>HANSEN DAM</v>
          </cell>
          <cell r="B63">
            <v>0.22550006210803986</v>
          </cell>
          <cell r="C63">
            <v>0.13787905871868134</v>
          </cell>
        </row>
        <row r="64">
          <cell r="A64" t="str">
            <v>LECHUZA PTRL ST FC352B</v>
          </cell>
          <cell r="B64">
            <v>9.9716268479824066E-2</v>
          </cell>
          <cell r="C64">
            <v>0.19844067096710205</v>
          </cell>
        </row>
        <row r="65">
          <cell r="A65" t="str">
            <v>LOS ANGELES CIVIC CENTE</v>
          </cell>
          <cell r="B65">
            <v>2.7437491342425346E-2</v>
          </cell>
          <cell r="C65">
            <v>0.13748455047607422</v>
          </cell>
        </row>
        <row r="66">
          <cell r="A66" t="str">
            <v>LOS ANGELES WSO ARPT</v>
          </cell>
          <cell r="B66">
            <v>4.4074997305870056E-2</v>
          </cell>
          <cell r="C66">
            <v>0.11504855751991272</v>
          </cell>
        </row>
        <row r="67">
          <cell r="A67" t="str">
            <v>NEWHALL S FC32CE</v>
          </cell>
          <cell r="B67">
            <v>9.8804876208305359E-2</v>
          </cell>
          <cell r="C67">
            <v>0.19880048930644989</v>
          </cell>
        </row>
        <row r="68">
          <cell r="A68" t="str">
            <v>PALMDALE</v>
          </cell>
          <cell r="B68">
            <v>0.19016663730144501</v>
          </cell>
          <cell r="C68">
            <v>9.8915912210941315E-2</v>
          </cell>
        </row>
        <row r="69">
          <cell r="A69" t="str">
            <v>SAN DIMAS TANBARK FLAT</v>
          </cell>
          <cell r="B69">
            <v>0.14825014770030975</v>
          </cell>
          <cell r="C69">
            <v>0.16511858999729156</v>
          </cell>
        </row>
        <row r="70">
          <cell r="A70" t="str">
            <v>SAN FERNANDO PH 3</v>
          </cell>
          <cell r="B70">
            <v>0.59550011157989502</v>
          </cell>
          <cell r="C70">
            <v>0.14784444868564606</v>
          </cell>
        </row>
        <row r="71">
          <cell r="A71" t="str">
            <v>SAN GABRIEL DAM FC425B</v>
          </cell>
          <cell r="B71">
            <v>9.9831394851207733E-2</v>
          </cell>
          <cell r="C71">
            <v>0.20851853489875793</v>
          </cell>
        </row>
        <row r="72">
          <cell r="A72" t="str">
            <v>SANDBERG</v>
          </cell>
          <cell r="B72">
            <v>9.0476758778095245E-2</v>
          </cell>
          <cell r="C72">
            <v>9.6347108483314514E-2</v>
          </cell>
        </row>
        <row r="73">
          <cell r="A73" t="str">
            <v>SANTA FE DAM</v>
          </cell>
          <cell r="B73">
            <v>0.19250001013278961</v>
          </cell>
          <cell r="C73">
            <v>0.14516149461269379</v>
          </cell>
        </row>
        <row r="74">
          <cell r="A74" t="str">
            <v>SEPULVEDA DAM</v>
          </cell>
          <cell r="B74">
            <v>0.57649940252304077</v>
          </cell>
          <cell r="C74">
            <v>0.1453406810760498</v>
          </cell>
        </row>
        <row r="75">
          <cell r="A75" t="str">
            <v>SIGNAL HILL FC 415</v>
          </cell>
          <cell r="B75">
            <v>9.9751532077789307E-2</v>
          </cell>
          <cell r="C75">
            <v>0.14933337271213531</v>
          </cell>
        </row>
        <row r="76">
          <cell r="A76" t="str">
            <v>SPADRA LANTERMAN HOSP</v>
          </cell>
          <cell r="B76">
            <v>9.9636077880859375E-2</v>
          </cell>
          <cell r="C76">
            <v>0.19093553721904755</v>
          </cell>
        </row>
        <row r="77">
          <cell r="A77" t="str">
            <v>SAN JOAQUIN EXP RANGE</v>
          </cell>
          <cell r="B77">
            <v>0.14414288103580475</v>
          </cell>
          <cell r="C77">
            <v>0.10247108340263367</v>
          </cell>
        </row>
        <row r="78">
          <cell r="A78" t="str">
            <v>MOUNT TAMALPAIS 2 SW</v>
          </cell>
          <cell r="B78">
            <v>9.9340334534645081E-2</v>
          </cell>
          <cell r="C78">
            <v>0.19452680647373199</v>
          </cell>
        </row>
        <row r="79">
          <cell r="A79" t="str">
            <v>NOVATO 8 WNW</v>
          </cell>
          <cell r="B79">
            <v>0.19833000004291534</v>
          </cell>
          <cell r="C79">
            <v>0.14883333444595337</v>
          </cell>
        </row>
        <row r="80">
          <cell r="A80" t="str">
            <v>CATHEYS VLY BULL R RCH</v>
          </cell>
          <cell r="B80">
            <v>0.17699998617172241</v>
          </cell>
          <cell r="C80">
            <v>0.10118240863084793</v>
          </cell>
        </row>
        <row r="81">
          <cell r="A81" t="str">
            <v>WAWONA RANGER STATION</v>
          </cell>
          <cell r="B81">
            <v>0.32399913668632507</v>
          </cell>
          <cell r="C81">
            <v>0.19112351536750793</v>
          </cell>
        </row>
        <row r="82">
          <cell r="A82" t="str">
            <v>YOSEMITE PARK HDQTRS</v>
          </cell>
          <cell r="B82">
            <v>0.60899770259857178</v>
          </cell>
          <cell r="C82">
            <v>0.11867864429950714</v>
          </cell>
        </row>
        <row r="83">
          <cell r="A83" t="str">
            <v>COVELO EEL RIVER RS</v>
          </cell>
          <cell r="B83">
            <v>9.9510319530963898E-2</v>
          </cell>
          <cell r="C83">
            <v>9.9429726600646973E-2</v>
          </cell>
        </row>
        <row r="84">
          <cell r="A84" t="str">
            <v>FORT BRAGG 5 N</v>
          </cell>
          <cell r="B84">
            <v>9.9944807589054108E-2</v>
          </cell>
          <cell r="C84">
            <v>9.9918074905872345E-2</v>
          </cell>
        </row>
        <row r="85">
          <cell r="A85" t="str">
            <v>LAYTONVILLE</v>
          </cell>
          <cell r="B85">
            <v>0.19980001449584961</v>
          </cell>
          <cell r="C85">
            <v>0.14059777557849884</v>
          </cell>
        </row>
        <row r="86">
          <cell r="A86" t="str">
            <v>NAVARRO 1 NW</v>
          </cell>
          <cell r="B86">
            <v>9.895797073841095E-2</v>
          </cell>
          <cell r="C86">
            <v>0.13459303975105286</v>
          </cell>
        </row>
        <row r="87">
          <cell r="A87" t="str">
            <v>POINT ARENA</v>
          </cell>
          <cell r="B87">
            <v>9.9457696080207825E-2</v>
          </cell>
          <cell r="C87">
            <v>0.11677232384681702</v>
          </cell>
        </row>
        <row r="88">
          <cell r="A88" t="str">
            <v>POTTER VALLEY 3 SE</v>
          </cell>
          <cell r="B88">
            <v>0.10616661608219147</v>
          </cell>
          <cell r="C88">
            <v>9.651561826467514E-2</v>
          </cell>
        </row>
        <row r="89">
          <cell r="A89" t="str">
            <v>POTTER VALLEY P H</v>
          </cell>
          <cell r="B89">
            <v>9.9354684352874756E-2</v>
          </cell>
          <cell r="C89">
            <v>0.19442987442016602</v>
          </cell>
        </row>
        <row r="90">
          <cell r="A90" t="str">
            <v>WILLITS HOWARD FOREST R</v>
          </cell>
          <cell r="B90">
            <v>0.57449954748153687</v>
          </cell>
          <cell r="C90">
            <v>0.11376377195119858</v>
          </cell>
        </row>
        <row r="91">
          <cell r="A91" t="str">
            <v>YORKVILLE</v>
          </cell>
          <cell r="B91">
            <v>9.9000789225101471E-2</v>
          </cell>
          <cell r="C91">
            <v>0.19179660081863403</v>
          </cell>
        </row>
        <row r="92">
          <cell r="A92" t="str">
            <v>MERCED 2</v>
          </cell>
          <cell r="B92">
            <v>0.19599997997283936</v>
          </cell>
          <cell r="C92">
            <v>9.5967240631580353E-2</v>
          </cell>
        </row>
        <row r="93">
          <cell r="A93" t="str">
            <v>SAN LUIS DAM</v>
          </cell>
          <cell r="B93">
            <v>9.9053032696247101E-2</v>
          </cell>
          <cell r="C93">
            <v>9.1418363153934479E-2</v>
          </cell>
        </row>
        <row r="94">
          <cell r="A94" t="str">
            <v>ALTURAS</v>
          </cell>
          <cell r="B94">
            <v>9.9034197628498077E-2</v>
          </cell>
          <cell r="C94">
            <v>9.4375424087047577E-2</v>
          </cell>
        </row>
        <row r="95">
          <cell r="A95" t="str">
            <v>DAY</v>
          </cell>
          <cell r="B95">
            <v>0.19738468527793884</v>
          </cell>
          <cell r="C95">
            <v>9.2068225145339966E-2</v>
          </cell>
        </row>
        <row r="96">
          <cell r="A96" t="str">
            <v>BRIDGEPORT RANGER STN</v>
          </cell>
          <cell r="B96">
            <v>0.49879983067512512</v>
          </cell>
          <cell r="C96">
            <v>9.3780189752578735E-2</v>
          </cell>
        </row>
        <row r="97">
          <cell r="A97" t="str">
            <v>SONORA JUNCTION</v>
          </cell>
          <cell r="B97">
            <v>0.14812500774860382</v>
          </cell>
          <cell r="C97">
            <v>9.5704682171344757E-2</v>
          </cell>
        </row>
        <row r="98">
          <cell r="A98" t="str">
            <v>ARROYO SECO</v>
          </cell>
          <cell r="B98">
            <v>0.17266668379306793</v>
          </cell>
          <cell r="C98">
            <v>0.1393575519323349</v>
          </cell>
        </row>
        <row r="99">
          <cell r="A99" t="str">
            <v>BRYSON</v>
          </cell>
          <cell r="B99">
            <v>9.9766217172145844E-2</v>
          </cell>
          <cell r="C99">
            <v>0.17682887613773346</v>
          </cell>
        </row>
        <row r="100">
          <cell r="A100" t="str">
            <v>DEL MONTE</v>
          </cell>
          <cell r="B100">
            <v>9.9538460373878479E-2</v>
          </cell>
          <cell r="C100">
            <v>9.9245689809322357E-2</v>
          </cell>
        </row>
        <row r="101">
          <cell r="A101" t="str">
            <v>KING CITY</v>
          </cell>
          <cell r="B101">
            <v>9.9003754556179047E-2</v>
          </cell>
          <cell r="C101">
            <v>9.9820889532566071E-2</v>
          </cell>
        </row>
        <row r="102">
          <cell r="A102" t="str">
            <v>LOCKWOOD 1 N</v>
          </cell>
          <cell r="B102">
            <v>9.9486842751502991E-2</v>
          </cell>
          <cell r="C102">
            <v>9.9332049489021301E-2</v>
          </cell>
        </row>
        <row r="103">
          <cell r="A103" t="str">
            <v>LUCIA WILLOW SPRINGS</v>
          </cell>
          <cell r="B103">
            <v>0.24149955809116364</v>
          </cell>
          <cell r="C103">
            <v>0.16601839661598206</v>
          </cell>
        </row>
        <row r="104">
          <cell r="A104" t="str">
            <v>ANGWIN PAC UNION COL</v>
          </cell>
          <cell r="B104">
            <v>9.9409468472003937E-2</v>
          </cell>
          <cell r="C104">
            <v>0.1968475878238678</v>
          </cell>
        </row>
        <row r="105">
          <cell r="A105" t="str">
            <v>ATLAS ROAD BROWN</v>
          </cell>
          <cell r="B105">
            <v>9.9079124629497528E-2</v>
          </cell>
          <cell r="C105">
            <v>0.19811947643756866</v>
          </cell>
        </row>
        <row r="106">
          <cell r="A106" t="str">
            <v>SAINT HELENA 4 WSW</v>
          </cell>
          <cell r="B106">
            <v>9.9243395030498505E-2</v>
          </cell>
          <cell r="C106">
            <v>0.19198973476886749</v>
          </cell>
        </row>
        <row r="107">
          <cell r="A107" t="str">
            <v>BOWMAN DAM</v>
          </cell>
          <cell r="B107">
            <v>0.19971741735935211</v>
          </cell>
          <cell r="C107">
            <v>0.19181187450885773</v>
          </cell>
        </row>
        <row r="108">
          <cell r="A108" t="str">
            <v>GRASS VALLEY NO 2</v>
          </cell>
          <cell r="B108">
            <v>0.10166659951210022</v>
          </cell>
          <cell r="C108">
            <v>0.17333944141864777</v>
          </cell>
        </row>
        <row r="109">
          <cell r="A109" t="str">
            <v>NORTH BLOOMFIELD</v>
          </cell>
          <cell r="B109">
            <v>9.8995588719844818E-2</v>
          </cell>
          <cell r="C109">
            <v>0.19550105929374695</v>
          </cell>
        </row>
        <row r="110">
          <cell r="A110" t="str">
            <v>SODA SPRINGS 1 E</v>
          </cell>
          <cell r="B110">
            <v>0.99829965829849243</v>
          </cell>
          <cell r="C110">
            <v>9.9866457283496857E-2</v>
          </cell>
        </row>
        <row r="111">
          <cell r="A111" t="str">
            <v>TRUCKEE RS</v>
          </cell>
          <cell r="B111">
            <v>9.994092583656311E-2</v>
          </cell>
          <cell r="C111">
            <v>9.902685135602951E-2</v>
          </cell>
        </row>
        <row r="112">
          <cell r="A112" t="str">
            <v>BREA DAM</v>
          </cell>
          <cell r="B112">
            <v>0.29983341693878174</v>
          </cell>
          <cell r="C112">
            <v>0.13422219455242157</v>
          </cell>
        </row>
        <row r="113">
          <cell r="A113" t="str">
            <v>CARBON CANYON GILMAN</v>
          </cell>
          <cell r="B113">
            <v>0.42849910259246826</v>
          </cell>
          <cell r="C113">
            <v>0.13906121253967285</v>
          </cell>
        </row>
        <row r="114">
          <cell r="A114" t="str">
            <v>EL MODENA</v>
          </cell>
          <cell r="B114">
            <v>0.40349975228309631</v>
          </cell>
          <cell r="C114">
            <v>0.11278154700994492</v>
          </cell>
        </row>
        <row r="115">
          <cell r="A115" t="str">
            <v>FULLERTON DAM</v>
          </cell>
          <cell r="B115">
            <v>0.32349994778633118</v>
          </cell>
          <cell r="C115">
            <v>0.13800925016403198</v>
          </cell>
        </row>
        <row r="116">
          <cell r="A116" t="str">
            <v>LAGUNA BEACH 2</v>
          </cell>
          <cell r="B116">
            <v>9.9666669964790344E-2</v>
          </cell>
          <cell r="C116">
            <v>0.19099888205528259</v>
          </cell>
        </row>
        <row r="117">
          <cell r="A117" t="str">
            <v>ORANGE COUNTY RESERVOIR</v>
          </cell>
          <cell r="B117">
            <v>0.49999997019767761</v>
          </cell>
          <cell r="C117">
            <v>0.13769198954105377</v>
          </cell>
        </row>
        <row r="118">
          <cell r="A118" t="str">
            <v>SAN JUAN GUARD STN</v>
          </cell>
          <cell r="B118">
            <v>9.8756201565265656E-2</v>
          </cell>
          <cell r="C118">
            <v>0.17468185722827911</v>
          </cell>
        </row>
        <row r="119">
          <cell r="A119" t="str">
            <v>SANTIAGO DAM</v>
          </cell>
          <cell r="B119">
            <v>0.7429998517036438</v>
          </cell>
          <cell r="C119">
            <v>0.14107510447502136</v>
          </cell>
        </row>
        <row r="120">
          <cell r="A120" t="str">
            <v>SILVERADO RANGER STN</v>
          </cell>
          <cell r="B120">
            <v>0.598499596118927</v>
          </cell>
          <cell r="C120">
            <v>0.14378538727760315</v>
          </cell>
        </row>
        <row r="121">
          <cell r="A121" t="str">
            <v>TRABUCO CANYON</v>
          </cell>
          <cell r="B121">
            <v>9.9432468414306641E-2</v>
          </cell>
          <cell r="C121">
            <v>0.19197240471839905</v>
          </cell>
        </row>
        <row r="122">
          <cell r="A122" t="str">
            <v>BLUE CANYON</v>
          </cell>
          <cell r="B122">
            <v>9.7020275890827179E-2</v>
          </cell>
          <cell r="C122">
            <v>0.13985773921012878</v>
          </cell>
        </row>
        <row r="123">
          <cell r="A123" t="str">
            <v>HELL HOLE</v>
          </cell>
          <cell r="B123">
            <v>9.9400155246257782E-2</v>
          </cell>
          <cell r="C123">
            <v>0.19368959963321686</v>
          </cell>
        </row>
        <row r="124">
          <cell r="A124" t="str">
            <v>MICHIGAN BLUFF</v>
          </cell>
          <cell r="B124">
            <v>2.0255024433135986</v>
          </cell>
          <cell r="C124">
            <v>0.11016266047954559</v>
          </cell>
        </row>
        <row r="125">
          <cell r="A125" t="str">
            <v>HAMILTON BRANCH FIRE DE</v>
          </cell>
          <cell r="B125">
            <v>1.2805007696151733</v>
          </cell>
          <cell r="C125">
            <v>6.9080792367458344E-2</v>
          </cell>
        </row>
        <row r="126">
          <cell r="A126" t="str">
            <v>PLUMAS EUREKA STATE PAR</v>
          </cell>
          <cell r="B126">
            <v>9.9800989031791687E-2</v>
          </cell>
          <cell r="C126">
            <v>0.19468313455581665</v>
          </cell>
        </row>
        <row r="127">
          <cell r="A127" t="str">
            <v>PORTOLA</v>
          </cell>
          <cell r="B127">
            <v>0.5774996280670166</v>
          </cell>
          <cell r="C127">
            <v>9.4898894429206848E-2</v>
          </cell>
        </row>
        <row r="128">
          <cell r="A128" t="str">
            <v>BEAUMONT</v>
          </cell>
          <cell r="B128">
            <v>9.9640548229217529E-2</v>
          </cell>
          <cell r="C128">
            <v>0.17777259647846222</v>
          </cell>
        </row>
        <row r="129">
          <cell r="A129" t="str">
            <v>BLYTHE 7 W</v>
          </cell>
          <cell r="B129">
            <v>0.36833333969116211</v>
          </cell>
          <cell r="C129">
            <v>9.7307696938514709E-2</v>
          </cell>
        </row>
        <row r="130">
          <cell r="A130" t="str">
            <v>ELSINORE</v>
          </cell>
          <cell r="B130">
            <v>9.9059760570526123E-2</v>
          </cell>
          <cell r="C130">
            <v>0.1939782053232193</v>
          </cell>
        </row>
        <row r="131">
          <cell r="A131" t="str">
            <v>HAYFIELD PUMPING PLANT</v>
          </cell>
          <cell r="B131">
            <v>9.9621854722499847E-2</v>
          </cell>
          <cell r="C131">
            <v>9.9207818508148193E-2</v>
          </cell>
        </row>
        <row r="132">
          <cell r="A132" t="str">
            <v>HURKEY CREEK PARK</v>
          </cell>
          <cell r="B132">
            <v>9.9997915327548981E-2</v>
          </cell>
          <cell r="C132">
            <v>0.1901712566614151</v>
          </cell>
        </row>
        <row r="133">
          <cell r="A133" t="str">
            <v>IDYLLWILD FIRE DEPT</v>
          </cell>
          <cell r="B133">
            <v>0.17100018262863159</v>
          </cell>
          <cell r="C133">
            <v>0.19340363144874573</v>
          </cell>
        </row>
        <row r="134">
          <cell r="A134" t="str">
            <v>PRADO DAM</v>
          </cell>
          <cell r="B134">
            <v>0.34000000357627869</v>
          </cell>
          <cell r="C134">
            <v>0.13137876987457275</v>
          </cell>
        </row>
        <row r="135">
          <cell r="A135" t="str">
            <v>RIVERSIDE CITRUS EXP ST</v>
          </cell>
          <cell r="B135">
            <v>4.6071432530879974E-2</v>
          </cell>
          <cell r="C135">
            <v>9.3337319791316986E-2</v>
          </cell>
        </row>
        <row r="136">
          <cell r="A136" t="str">
            <v>SAN JACINTO R S</v>
          </cell>
          <cell r="B136">
            <v>9.9512360990047455E-2</v>
          </cell>
          <cell r="C136">
            <v>9.9743887782096863E-2</v>
          </cell>
        </row>
        <row r="137">
          <cell r="A137" t="str">
            <v>SACRAMENTO DOWNTOWN</v>
          </cell>
          <cell r="B137">
            <v>1.6826923936605453E-2</v>
          </cell>
          <cell r="C137">
            <v>9.3431107699871063E-2</v>
          </cell>
        </row>
        <row r="138">
          <cell r="A138" t="str">
            <v>SACRAMENTO FAA ARPT</v>
          </cell>
          <cell r="B138">
            <v>1.6733329743146896E-2</v>
          </cell>
          <cell r="C138">
            <v>9.106522798538208E-2</v>
          </cell>
        </row>
        <row r="139">
          <cell r="A139" t="str">
            <v>HERNANDEZ 7 SE</v>
          </cell>
          <cell r="B139">
            <v>9.9229611456394196E-2</v>
          </cell>
          <cell r="C139">
            <v>0.13044387102127075</v>
          </cell>
        </row>
        <row r="140">
          <cell r="A140" t="str">
            <v>HOLLISTER 2</v>
          </cell>
          <cell r="B140">
            <v>9.9441975355148315E-2</v>
          </cell>
          <cell r="C140">
            <v>9.923940896987915E-2</v>
          </cell>
        </row>
        <row r="141">
          <cell r="A141" t="str">
            <v>HOLLISTER 9 ENE</v>
          </cell>
          <cell r="B141">
            <v>9.9215544760227203E-2</v>
          </cell>
          <cell r="C141">
            <v>0.17603488266468048</v>
          </cell>
        </row>
        <row r="142">
          <cell r="A142" t="str">
            <v>SAN BENITO</v>
          </cell>
          <cell r="B142">
            <v>0.29149997234344482</v>
          </cell>
          <cell r="C142">
            <v>9.8054304718971252E-2</v>
          </cell>
        </row>
        <row r="143">
          <cell r="A143" t="str">
            <v>SAN JUAN BAUTISTA 3 SS</v>
          </cell>
          <cell r="B143">
            <v>0.49225005507469177</v>
          </cell>
          <cell r="C143">
            <v>9.827636182308197E-2</v>
          </cell>
        </row>
        <row r="144">
          <cell r="A144" t="str">
            <v>UPPER TRES PINOS</v>
          </cell>
          <cell r="B144">
            <v>0.59400022029876709</v>
          </cell>
          <cell r="C144">
            <v>9.487498551607132E-2</v>
          </cell>
        </row>
        <row r="145">
          <cell r="A145" t="str">
            <v>BAKER</v>
          </cell>
          <cell r="B145">
            <v>0.33483341336250305</v>
          </cell>
          <cell r="C145">
            <v>6.8580932915210724E-2</v>
          </cell>
        </row>
        <row r="146">
          <cell r="A146" t="str">
            <v>BIG BEAR LAKE DAM</v>
          </cell>
          <cell r="B146">
            <v>0.39179998636245728</v>
          </cell>
          <cell r="C146">
            <v>0.19884535670280457</v>
          </cell>
        </row>
        <row r="147">
          <cell r="A147" t="str">
            <v>CAJON WEST SUMMIT</v>
          </cell>
          <cell r="B147">
            <v>9.9877603352069855E-2</v>
          </cell>
          <cell r="C147">
            <v>0.17956526577472687</v>
          </cell>
        </row>
        <row r="148">
          <cell r="A148" t="str">
            <v>CAMP ANGELUS</v>
          </cell>
          <cell r="B148">
            <v>0.24424977600574493</v>
          </cell>
          <cell r="C148">
            <v>0.19897586107254028</v>
          </cell>
        </row>
        <row r="149">
          <cell r="A149" t="str">
            <v>CARBON CANYON WORKMAN</v>
          </cell>
          <cell r="B149">
            <v>0.74325025081634521</v>
          </cell>
          <cell r="C149">
            <v>0.14224095642566681</v>
          </cell>
        </row>
        <row r="150">
          <cell r="A150" t="str">
            <v>CRESTLINE FIRE STN 2</v>
          </cell>
          <cell r="B150">
            <v>9.9295705556869507E-2</v>
          </cell>
          <cell r="C150">
            <v>0.29298141598701477</v>
          </cell>
        </row>
        <row r="151">
          <cell r="A151" t="str">
            <v>DAGGETT POWER PLANT</v>
          </cell>
          <cell r="B151">
            <v>0.19047060608863831</v>
          </cell>
          <cell r="C151">
            <v>9.905620664358139E-2</v>
          </cell>
        </row>
        <row r="152">
          <cell r="A152" t="str">
            <v>ETIWANDA</v>
          </cell>
          <cell r="B152">
            <v>0.87400048971176147</v>
          </cell>
          <cell r="C152">
            <v>0.1458241194486618</v>
          </cell>
        </row>
        <row r="153">
          <cell r="A153" t="str">
            <v>IRON MOUNTAIN</v>
          </cell>
          <cell r="B153">
            <v>0.117249995470047</v>
          </cell>
          <cell r="C153">
            <v>9.8758161067962646E-2</v>
          </cell>
        </row>
        <row r="154">
          <cell r="A154" t="str">
            <v>LYTLE CREEK FOOTHILL BL</v>
          </cell>
          <cell r="B154">
            <v>0.57500028610229492</v>
          </cell>
          <cell r="C154">
            <v>0.11319358646869659</v>
          </cell>
        </row>
        <row r="155">
          <cell r="A155" t="str">
            <v>LYTLE CREEK R S</v>
          </cell>
          <cell r="B155">
            <v>0.19788235425949097</v>
          </cell>
          <cell r="C155">
            <v>0.29360437393188477</v>
          </cell>
        </row>
        <row r="156">
          <cell r="A156" t="str">
            <v>MILL CREEK INTAKE</v>
          </cell>
          <cell r="B156">
            <v>0.19720000028610229</v>
          </cell>
          <cell r="C156">
            <v>0.19649402797222137</v>
          </cell>
        </row>
        <row r="157">
          <cell r="A157" t="str">
            <v>NEEDLES</v>
          </cell>
          <cell r="B157">
            <v>0.27700012922286987</v>
          </cell>
          <cell r="C157">
            <v>9.8817549645900726E-2</v>
          </cell>
        </row>
        <row r="158">
          <cell r="A158" t="str">
            <v>PARKER RESERVOIR</v>
          </cell>
          <cell r="B158">
            <v>9.9894233047962189E-2</v>
          </cell>
          <cell r="C158">
            <v>9.9923297762870789E-2</v>
          </cell>
        </row>
        <row r="159">
          <cell r="A159" t="str">
            <v>RUNNING SPRINGS 1 E</v>
          </cell>
          <cell r="B159">
            <v>0.29588890075683594</v>
          </cell>
          <cell r="C159">
            <v>0.26842319965362549</v>
          </cell>
        </row>
        <row r="160">
          <cell r="A160" t="str">
            <v>SANTA ANA RIVER P H 3</v>
          </cell>
          <cell r="B160">
            <v>0.30574983358383179</v>
          </cell>
          <cell r="C160">
            <v>0.10478394478559494</v>
          </cell>
        </row>
        <row r="161">
          <cell r="A161" t="str">
            <v>VICTORVILLE PUMP PLANT</v>
          </cell>
          <cell r="B161">
            <v>9.9549710750579834E-2</v>
          </cell>
          <cell r="C161">
            <v>9.8831847310066223E-2</v>
          </cell>
        </row>
        <row r="162">
          <cell r="A162" t="str">
            <v>CRAWFORD RANCH</v>
          </cell>
          <cell r="B162">
            <v>0.39049986004829407</v>
          </cell>
          <cell r="C162">
            <v>8.4741093218326569E-2</v>
          </cell>
        </row>
        <row r="163">
          <cell r="A163" t="str">
            <v>CUYAMACA</v>
          </cell>
          <cell r="B163">
            <v>9.9379956722259521E-2</v>
          </cell>
          <cell r="C163">
            <v>0.197541743516922</v>
          </cell>
        </row>
        <row r="164">
          <cell r="A164" t="str">
            <v>EL CAPITAN DAM</v>
          </cell>
          <cell r="B164">
            <v>9.8976492881774902E-2</v>
          </cell>
          <cell r="C164">
            <v>0.14086085557937622</v>
          </cell>
        </row>
        <row r="165">
          <cell r="A165" t="str">
            <v>FALLBROOK</v>
          </cell>
          <cell r="B165">
            <v>9.9100343883037567E-2</v>
          </cell>
          <cell r="C165">
            <v>0.19010062515735626</v>
          </cell>
        </row>
        <row r="166">
          <cell r="A166" t="str">
            <v>HENSHAW DAM</v>
          </cell>
          <cell r="B166">
            <v>9.969097375869751E-2</v>
          </cell>
          <cell r="C166">
            <v>0.17906178534030914</v>
          </cell>
        </row>
        <row r="167">
          <cell r="A167" t="str">
            <v>LAKE WOHLFORD</v>
          </cell>
          <cell r="B167">
            <v>9.9244080483913422E-2</v>
          </cell>
          <cell r="C167">
            <v>0.14335568249225616</v>
          </cell>
        </row>
        <row r="168">
          <cell r="A168" t="str">
            <v>LOWER OTAY RESERVOIR</v>
          </cell>
          <cell r="B168">
            <v>0.19474001228809357</v>
          </cell>
          <cell r="C168">
            <v>0.11784616857767105</v>
          </cell>
        </row>
        <row r="169">
          <cell r="A169" t="str">
            <v>MORENA DAM</v>
          </cell>
          <cell r="B169">
            <v>9.9379964172840118E-2</v>
          </cell>
          <cell r="C169">
            <v>0.10627102106809616</v>
          </cell>
        </row>
        <row r="170">
          <cell r="A170" t="str">
            <v>OCEANSIDE PUMPING PLANT</v>
          </cell>
          <cell r="B170">
            <v>9.9597036838531494E-2</v>
          </cell>
          <cell r="C170">
            <v>0.13579171895980835</v>
          </cell>
        </row>
        <row r="171">
          <cell r="A171" t="str">
            <v>PALOMAR MOUNTAIN OBSERV</v>
          </cell>
          <cell r="B171">
            <v>0.29707139730453491</v>
          </cell>
          <cell r="C171">
            <v>0.19685840606689453</v>
          </cell>
        </row>
        <row r="172">
          <cell r="A172" t="str">
            <v>SAN DIEGO WSO AIRPORT</v>
          </cell>
          <cell r="B172">
            <v>2.2586964070796967E-2</v>
          </cell>
          <cell r="C172">
            <v>9.3044139444828033E-2</v>
          </cell>
        </row>
        <row r="173">
          <cell r="A173" t="str">
            <v>WARNER SPRINGS</v>
          </cell>
          <cell r="B173">
            <v>0.42400005459785461</v>
          </cell>
          <cell r="C173">
            <v>9.6467196941375732E-2</v>
          </cell>
        </row>
        <row r="174">
          <cell r="A174" t="str">
            <v>SAN FRANCISCO DOWNTOWN</v>
          </cell>
          <cell r="B174">
            <v>1.5060971491038799E-2</v>
          </cell>
          <cell r="C174">
            <v>9.2160254716873169E-2</v>
          </cell>
        </row>
        <row r="175">
          <cell r="A175" t="str">
            <v>SAN FRANCISCO OCEANSIDE</v>
          </cell>
          <cell r="B175">
            <v>6.0125023126602173E-2</v>
          </cell>
          <cell r="C175">
            <v>9.7609966993331909E-2</v>
          </cell>
        </row>
        <row r="176">
          <cell r="A176" t="str">
            <v>STOCKTON AP</v>
          </cell>
          <cell r="B176">
            <v>4.346875473856926E-2</v>
          </cell>
          <cell r="C176">
            <v>8.895605057477951E-2</v>
          </cell>
        </row>
        <row r="177">
          <cell r="A177" t="str">
            <v>STOCKTON DISPOSAL PLANT</v>
          </cell>
          <cell r="B177">
            <v>0.19066666066646576</v>
          </cell>
          <cell r="C177">
            <v>9.626442939043045E-2</v>
          </cell>
        </row>
        <row r="178">
          <cell r="A178" t="str">
            <v>TRACY 2 SSE</v>
          </cell>
          <cell r="B178">
            <v>0.11149997264146805</v>
          </cell>
          <cell r="C178">
            <v>6.7117981612682343E-2</v>
          </cell>
        </row>
        <row r="179">
          <cell r="A179" t="str">
            <v>CHOLAME ALLEY RANCH</v>
          </cell>
          <cell r="B179">
            <v>0.30199980735778809</v>
          </cell>
          <cell r="C179">
            <v>8.5753872990608215E-2</v>
          </cell>
        </row>
        <row r="180">
          <cell r="A180" t="str">
            <v>HUASNA</v>
          </cell>
          <cell r="B180">
            <v>0.3912501335144043</v>
          </cell>
          <cell r="C180">
            <v>0.11265445500612259</v>
          </cell>
        </row>
        <row r="181">
          <cell r="A181" t="str">
            <v>SAN LUIS OBISPO</v>
          </cell>
          <cell r="B181">
            <v>9.9144652485847473E-2</v>
          </cell>
          <cell r="C181">
            <v>0.19213743507862091</v>
          </cell>
        </row>
        <row r="182">
          <cell r="A182" t="str">
            <v>SAN FRANCISCO WSO AP</v>
          </cell>
          <cell r="B182">
            <v>1.8243897706270218E-2</v>
          </cell>
          <cell r="C182">
            <v>9.4497241079807281E-2</v>
          </cell>
        </row>
        <row r="183">
          <cell r="A183" t="str">
            <v>CACHUMA LAKE</v>
          </cell>
          <cell r="B183">
            <v>0.24399985373020172</v>
          </cell>
          <cell r="C183">
            <v>0.14294596016407013</v>
          </cell>
        </row>
        <row r="184">
          <cell r="A184" t="str">
            <v>CARPINTERIA RESERVOIR</v>
          </cell>
          <cell r="B184">
            <v>9.8981663584709167E-2</v>
          </cell>
          <cell r="C184">
            <v>0.19946666061878204</v>
          </cell>
        </row>
        <row r="185">
          <cell r="A185" t="str">
            <v>FIGUEROA MOUNTAIN</v>
          </cell>
          <cell r="B185">
            <v>0.19159257411956787</v>
          </cell>
          <cell r="C185">
            <v>0.19480149447917938</v>
          </cell>
        </row>
        <row r="186">
          <cell r="A186" t="str">
            <v>SAN MARCOS PASS</v>
          </cell>
          <cell r="B186">
            <v>9.9080868065357208E-2</v>
          </cell>
          <cell r="C186">
            <v>0.2968217134475708</v>
          </cell>
        </row>
        <row r="187">
          <cell r="A187" t="str">
            <v>SANTA BARBARA</v>
          </cell>
          <cell r="B187">
            <v>9.9213771522045135E-2</v>
          </cell>
          <cell r="C187">
            <v>0.19564501941204071</v>
          </cell>
        </row>
        <row r="188">
          <cell r="A188" t="str">
            <v>SANTA MARIA WSO ARPT</v>
          </cell>
          <cell r="B188">
            <v>1.9342860206961632E-2</v>
          </cell>
          <cell r="C188">
            <v>9.5089733600616455E-2</v>
          </cell>
        </row>
        <row r="189">
          <cell r="A189" t="str">
            <v>SANTA YNEZ</v>
          </cell>
          <cell r="B189">
            <v>9.9515520036220551E-2</v>
          </cell>
          <cell r="C189">
            <v>0.19292868673801422</v>
          </cell>
        </row>
        <row r="190">
          <cell r="A190" t="str">
            <v>SURF 2 ENE</v>
          </cell>
          <cell r="B190">
            <v>0.16300006210803986</v>
          </cell>
          <cell r="C190">
            <v>9.9869579076766968E-2</v>
          </cell>
        </row>
        <row r="191">
          <cell r="A191" t="str">
            <v>GILROY 8 NE</v>
          </cell>
          <cell r="B191">
            <v>0.17774996161460876</v>
          </cell>
          <cell r="C191">
            <v>0.10260123759508133</v>
          </cell>
        </row>
        <row r="192">
          <cell r="A192" t="str">
            <v>MORGAN HILL</v>
          </cell>
          <cell r="B192">
            <v>9.9058277904987335E-2</v>
          </cell>
          <cell r="C192">
            <v>0.1475890576839447</v>
          </cell>
        </row>
        <row r="193">
          <cell r="A193" t="str">
            <v>SAN JOSE</v>
          </cell>
          <cell r="B193">
            <v>9.7589023411273956E-2</v>
          </cell>
          <cell r="C193">
            <v>9.6759848296642303E-2</v>
          </cell>
        </row>
        <row r="194">
          <cell r="A194" t="str">
            <v>BOULDER CREEK LOCAT RAN</v>
          </cell>
          <cell r="B194">
            <v>9.9073737859725952E-2</v>
          </cell>
          <cell r="C194">
            <v>0.19928097724914551</v>
          </cell>
        </row>
        <row r="195">
          <cell r="A195" t="str">
            <v>CORRALITOS</v>
          </cell>
          <cell r="B195">
            <v>9.9514700472354889E-2</v>
          </cell>
          <cell r="C195">
            <v>0.19399717450141907</v>
          </cell>
        </row>
        <row r="196">
          <cell r="A196" t="str">
            <v>SUNSET STATE BEACH</v>
          </cell>
          <cell r="B196">
            <v>9.8910130560398102E-2</v>
          </cell>
          <cell r="C196">
            <v>0.16576085984706879</v>
          </cell>
        </row>
        <row r="197">
          <cell r="A197" t="str">
            <v>HARRISON GULCH R S</v>
          </cell>
          <cell r="B197">
            <v>9.9339887499809265E-2</v>
          </cell>
          <cell r="C197">
            <v>9.9223479628562927E-2</v>
          </cell>
        </row>
        <row r="198">
          <cell r="A198" t="str">
            <v>REDDING 5 SSE</v>
          </cell>
          <cell r="B198">
            <v>0.17674992978572845</v>
          </cell>
          <cell r="C198">
            <v>0.11143502593040466</v>
          </cell>
        </row>
        <row r="199">
          <cell r="A199" t="str">
            <v>SHASTA DAM</v>
          </cell>
          <cell r="B199">
            <v>9.9854834377765656E-2</v>
          </cell>
          <cell r="C199">
            <v>0.19576339423656464</v>
          </cell>
        </row>
        <row r="200">
          <cell r="A200" t="str">
            <v>VOLTA POWER HOUSE</v>
          </cell>
          <cell r="B200">
            <v>9.9425829946994781E-2</v>
          </cell>
          <cell r="C200">
            <v>9.9923461675643921E-2</v>
          </cell>
        </row>
        <row r="201">
          <cell r="A201" t="str">
            <v>DOWNIEVILLE</v>
          </cell>
          <cell r="B201">
            <v>0.16049946844577789</v>
          </cell>
          <cell r="C201">
            <v>0.19270932674407959</v>
          </cell>
        </row>
        <row r="202">
          <cell r="A202" t="str">
            <v>SIERRAVILLE R S</v>
          </cell>
          <cell r="B202">
            <v>0.33688884973526001</v>
          </cell>
          <cell r="C202">
            <v>9.8284535109996796E-2</v>
          </cell>
        </row>
        <row r="203">
          <cell r="A203" t="str">
            <v>ETNA</v>
          </cell>
          <cell r="B203">
            <v>9.9640950560569763E-2</v>
          </cell>
          <cell r="C203">
            <v>9.6582338213920593E-2</v>
          </cell>
        </row>
        <row r="204">
          <cell r="A204" t="str">
            <v>HAPPY CAMP RANGER STN</v>
          </cell>
          <cell r="B204">
            <v>9.9112354218959808E-2</v>
          </cell>
          <cell r="C204">
            <v>0.10347940027713776</v>
          </cell>
        </row>
        <row r="205">
          <cell r="A205" t="str">
            <v>MONTAGUE 5 NE</v>
          </cell>
          <cell r="B205">
            <v>9.9314786493778229E-2</v>
          </cell>
          <cell r="C205">
            <v>9.6926771104335785E-2</v>
          </cell>
        </row>
        <row r="206">
          <cell r="A206" t="str">
            <v>MOUNT SHASTA</v>
          </cell>
          <cell r="B206">
            <v>9.7350291907787323E-2</v>
          </cell>
          <cell r="C206">
            <v>9.7078457474708557E-2</v>
          </cell>
        </row>
        <row r="207">
          <cell r="A207" t="str">
            <v>TULELAKE</v>
          </cell>
          <cell r="B207">
            <v>9.9729031324386597E-2</v>
          </cell>
          <cell r="C207">
            <v>8.4478199481964111E-2</v>
          </cell>
        </row>
        <row r="208">
          <cell r="A208" t="str">
            <v>LAKE SOLANO</v>
          </cell>
          <cell r="B208">
            <v>0.27849999070167542</v>
          </cell>
          <cell r="C208">
            <v>0.11661592870950699</v>
          </cell>
        </row>
        <row r="209">
          <cell r="A209" t="str">
            <v>PETALUMA FIRE STA 2</v>
          </cell>
          <cell r="B209">
            <v>9.9410854279994965E-2</v>
          </cell>
          <cell r="C209">
            <v>0.14421799778938293</v>
          </cell>
        </row>
        <row r="210">
          <cell r="A210" t="str">
            <v>SEBASTOPOL</v>
          </cell>
          <cell r="B210">
            <v>9.9089153110980988E-2</v>
          </cell>
          <cell r="C210">
            <v>0.19099408388137817</v>
          </cell>
        </row>
        <row r="211">
          <cell r="A211" t="str">
            <v>THE GEYSERS</v>
          </cell>
          <cell r="B211">
            <v>0.17174997925758362</v>
          </cell>
          <cell r="C211">
            <v>0.17235688865184784</v>
          </cell>
        </row>
        <row r="212">
          <cell r="A212" t="str">
            <v>VENADO</v>
          </cell>
          <cell r="B212">
            <v>9.9493049085140228E-2</v>
          </cell>
          <cell r="C212">
            <v>0.19690568745136261</v>
          </cell>
        </row>
        <row r="213">
          <cell r="A213" t="str">
            <v>MODESTO 2</v>
          </cell>
          <cell r="B213">
            <v>9.9169455468654633E-2</v>
          </cell>
          <cell r="C213">
            <v>9.8462842404842377E-2</v>
          </cell>
        </row>
        <row r="214">
          <cell r="A214" t="str">
            <v>MINERAL</v>
          </cell>
          <cell r="B214">
            <v>0.19664059579372406</v>
          </cell>
          <cell r="C214">
            <v>0.19056031107902527</v>
          </cell>
        </row>
        <row r="215">
          <cell r="A215" t="str">
            <v>PASKENTA RANGER STN</v>
          </cell>
          <cell r="B215">
            <v>0.30850031971931458</v>
          </cell>
          <cell r="C215">
            <v>9.9146895110607147E-2</v>
          </cell>
        </row>
        <row r="216">
          <cell r="A216" t="str">
            <v>RED BLUFF AP</v>
          </cell>
          <cell r="B216">
            <v>2.2466674447059631E-2</v>
          </cell>
          <cell r="C216">
            <v>9.0002141892910004E-2</v>
          </cell>
        </row>
        <row r="217">
          <cell r="A217" t="str">
            <v>COFFEE CREEK R S</v>
          </cell>
          <cell r="B217">
            <v>9.9366024136543274E-2</v>
          </cell>
          <cell r="C217">
            <v>0.19387568533420563</v>
          </cell>
        </row>
        <row r="218">
          <cell r="A218" t="str">
            <v>HYAMPOM</v>
          </cell>
          <cell r="B218">
            <v>9.9629998207092285E-2</v>
          </cell>
          <cell r="C218">
            <v>9.9114373326301575E-2</v>
          </cell>
        </row>
        <row r="219">
          <cell r="A219" t="str">
            <v>WEAVERVILLE RS</v>
          </cell>
          <cell r="B219">
            <v>0.19662494957447052</v>
          </cell>
          <cell r="C219">
            <v>9.7388863563537598E-2</v>
          </cell>
        </row>
        <row r="220">
          <cell r="A220" t="str">
            <v>BADGER</v>
          </cell>
          <cell r="B220">
            <v>0.49439993500709534</v>
          </cell>
          <cell r="C220">
            <v>0.17684046924114227</v>
          </cell>
        </row>
        <row r="221">
          <cell r="A221" t="str">
            <v>EXETER FAUVER RANCH</v>
          </cell>
          <cell r="B221">
            <v>0.20450003445148468</v>
          </cell>
          <cell r="C221">
            <v>9.1710872948169708E-2</v>
          </cell>
        </row>
        <row r="222">
          <cell r="A222" t="str">
            <v>GRANT GROVE</v>
          </cell>
          <cell r="B222">
            <v>3.048748254776001</v>
          </cell>
          <cell r="C222">
            <v>0.14582836627960205</v>
          </cell>
        </row>
        <row r="223">
          <cell r="A223" t="str">
            <v>LODGEPOLE</v>
          </cell>
          <cell r="B223">
            <v>9.9485263228416443E-2</v>
          </cell>
          <cell r="C223">
            <v>0.19854949414730072</v>
          </cell>
        </row>
        <row r="224">
          <cell r="A224" t="str">
            <v>MILO 5 NE</v>
          </cell>
          <cell r="B224">
            <v>0.45749932527542114</v>
          </cell>
          <cell r="C224">
            <v>0.17532877624034882</v>
          </cell>
        </row>
        <row r="225">
          <cell r="A225" t="str">
            <v>SPRINGVILLE R S</v>
          </cell>
          <cell r="B225">
            <v>0.19352780282497406</v>
          </cell>
          <cell r="C225">
            <v>0.11263330280780792</v>
          </cell>
        </row>
        <row r="226">
          <cell r="A226" t="str">
            <v>SPRINGVILLE TULE HD</v>
          </cell>
          <cell r="B226">
            <v>9.9662452936172485E-2</v>
          </cell>
          <cell r="C226">
            <v>0.19385203719139099</v>
          </cell>
        </row>
        <row r="227">
          <cell r="A227" t="str">
            <v>THREE RIVERS 6 SE</v>
          </cell>
          <cell r="B227">
            <v>9.9125005304813385E-2</v>
          </cell>
          <cell r="C227">
            <v>0.13911245763301849</v>
          </cell>
        </row>
        <row r="228">
          <cell r="A228" t="str">
            <v>THREE RIVERS EDISON PH</v>
          </cell>
          <cell r="B228">
            <v>0.4639994204044342</v>
          </cell>
          <cell r="C228">
            <v>0.13717018067836761</v>
          </cell>
        </row>
        <row r="229">
          <cell r="A229" t="str">
            <v>UHL R S</v>
          </cell>
          <cell r="B229">
            <v>0.19102272391319275</v>
          </cell>
          <cell r="C229">
            <v>0.19188901782035828</v>
          </cell>
        </row>
        <row r="230">
          <cell r="A230" t="str">
            <v>GROVELAND 2</v>
          </cell>
          <cell r="B230">
            <v>0.68349945545196533</v>
          </cell>
          <cell r="C230">
            <v>0.14287732541561127</v>
          </cell>
        </row>
        <row r="231">
          <cell r="A231" t="str">
            <v>HETCH HETCHY</v>
          </cell>
          <cell r="B231">
            <v>0.99175113439559937</v>
          </cell>
          <cell r="C231">
            <v>0.10427410155534744</v>
          </cell>
        </row>
        <row r="232">
          <cell r="A232" t="str">
            <v>PINECREST SUMMIT R S</v>
          </cell>
          <cell r="B232">
            <v>0.91500270366668701</v>
          </cell>
          <cell r="C232">
            <v>0.11429163068532944</v>
          </cell>
        </row>
        <row r="233">
          <cell r="A233" t="str">
            <v>CHUCHUPATE RANGER STN</v>
          </cell>
          <cell r="B233">
            <v>9.9584393203258514E-2</v>
          </cell>
          <cell r="C233">
            <v>9.9558204412460327E-2</v>
          </cell>
        </row>
        <row r="234">
          <cell r="A234" t="str">
            <v>MATILIJA DAM</v>
          </cell>
          <cell r="B234">
            <v>9.9056899547576904E-2</v>
          </cell>
          <cell r="C234">
            <v>0.29512661695480347</v>
          </cell>
        </row>
        <row r="235">
          <cell r="A235" t="str">
            <v>PINE MOUNTAIN INN</v>
          </cell>
          <cell r="B235">
            <v>9.8971113562583923E-2</v>
          </cell>
          <cell r="C235">
            <v>0.29027846455574036</v>
          </cell>
        </row>
        <row r="236">
          <cell r="A236" t="str">
            <v>DAVIS 2 WSW EXP FARM</v>
          </cell>
          <cell r="B236">
            <v>6.5090924501419067E-2</v>
          </cell>
          <cell r="C236">
            <v>9.3790873885154724E-2</v>
          </cell>
        </row>
        <row r="237">
          <cell r="A237" t="str">
            <v>CAMPTONVILLE R S</v>
          </cell>
          <cell r="B237">
            <v>0.19666667282581329</v>
          </cell>
          <cell r="C237">
            <v>0.17906999588012695</v>
          </cell>
        </row>
        <row r="238">
          <cell r="A238" t="str">
            <v>WHEATLAND 2 NE</v>
          </cell>
          <cell r="B238">
            <v>0.11466659605503082</v>
          </cell>
          <cell r="C238">
            <v>9.869983047246933E-2</v>
          </cell>
        </row>
        <row r="239">
          <cell r="A239" t="str">
            <v>INDEPENDENCE</v>
          </cell>
          <cell r="B239">
            <v>9.9864058196544647E-2</v>
          </cell>
          <cell r="C239">
            <v>9.9385455250740051E-2</v>
          </cell>
        </row>
        <row r="240">
          <cell r="A240" t="str">
            <v>LORAINE</v>
          </cell>
          <cell r="B240">
            <v>0.19720005989074707</v>
          </cell>
          <cell r="C240">
            <v>9.6728518605232239E-2</v>
          </cell>
        </row>
      </sheetData>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8" Type="http://schemas.openxmlformats.org/officeDocument/2006/relationships/ctrlProp" Target="../ctrlProps/ctrlProp51.xml"/><Relationship Id="rId3" Type="http://schemas.openxmlformats.org/officeDocument/2006/relationships/hyperlink" Target="http://www.globe.gov/tctg/bulkden.pdf?sectionID=94" TargetMode="External"/><Relationship Id="rId7" Type="http://schemas.openxmlformats.org/officeDocument/2006/relationships/ctrlProp" Target="../ctrlProps/ctrlProp50.xml"/><Relationship Id="rId2" Type="http://schemas.openxmlformats.org/officeDocument/2006/relationships/hyperlink" Target="http://www.globe.gov/sda/tg/pardensity.pdf" TargetMode="External"/><Relationship Id="rId1" Type="http://schemas.openxmlformats.org/officeDocument/2006/relationships/hyperlink" Target="http://soils.usda.gov/sqi/management/files/sq_utn_2.pdf" TargetMode="External"/><Relationship Id="rId6" Type="http://schemas.openxmlformats.org/officeDocument/2006/relationships/vmlDrawing" Target="../drawings/vmlDrawing6.vml"/><Relationship Id="rId5" Type="http://schemas.openxmlformats.org/officeDocument/2006/relationships/drawing" Target="../drawings/drawing6.xml"/><Relationship Id="rId4"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cabmphandbooks.com/"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4.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17.xml"/><Relationship Id="rId3" Type="http://schemas.openxmlformats.org/officeDocument/2006/relationships/vmlDrawing" Target="../drawings/vmlDrawing2.vml"/><Relationship Id="rId7" Type="http://schemas.openxmlformats.org/officeDocument/2006/relationships/ctrlProp" Target="../ctrlProps/ctrlProp16.xml"/><Relationship Id="rId12" Type="http://schemas.openxmlformats.org/officeDocument/2006/relationships/ctrlProp" Target="../ctrlProps/ctrlProp21.xml"/><Relationship Id="rId2" Type="http://schemas.openxmlformats.org/officeDocument/2006/relationships/drawing" Target="../drawings/drawing2.xml"/><Relationship Id="rId1" Type="http://schemas.openxmlformats.org/officeDocument/2006/relationships/printerSettings" Target="../printerSettings/printerSettings5.bin"/><Relationship Id="rId6" Type="http://schemas.openxmlformats.org/officeDocument/2006/relationships/ctrlProp" Target="../ctrlProps/ctrlProp15.xml"/><Relationship Id="rId11" Type="http://schemas.openxmlformats.org/officeDocument/2006/relationships/ctrlProp" Target="../ctrlProps/ctrlProp20.xml"/><Relationship Id="rId5" Type="http://schemas.openxmlformats.org/officeDocument/2006/relationships/ctrlProp" Target="../ctrlProps/ctrlProp14.xml"/><Relationship Id="rId10" Type="http://schemas.openxmlformats.org/officeDocument/2006/relationships/ctrlProp" Target="../ctrlProps/ctrlProp19.xml"/><Relationship Id="rId4" Type="http://schemas.openxmlformats.org/officeDocument/2006/relationships/ctrlProp" Target="../ctrlProps/ctrlProp13.xml"/><Relationship Id="rId9" Type="http://schemas.openxmlformats.org/officeDocument/2006/relationships/ctrlProp" Target="../ctrlProps/ctrlProp18.xml"/></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26.xml"/><Relationship Id="rId3" Type="http://schemas.openxmlformats.org/officeDocument/2006/relationships/vmlDrawing" Target="../drawings/vmlDrawing3.vml"/><Relationship Id="rId7" Type="http://schemas.openxmlformats.org/officeDocument/2006/relationships/ctrlProp" Target="../ctrlProps/ctrlProp25.xml"/><Relationship Id="rId12" Type="http://schemas.openxmlformats.org/officeDocument/2006/relationships/ctrlProp" Target="../ctrlProps/ctrlProp30.xml"/><Relationship Id="rId2" Type="http://schemas.openxmlformats.org/officeDocument/2006/relationships/drawing" Target="../drawings/drawing3.xml"/><Relationship Id="rId1" Type="http://schemas.openxmlformats.org/officeDocument/2006/relationships/printerSettings" Target="../printerSettings/printerSettings6.bin"/><Relationship Id="rId6" Type="http://schemas.openxmlformats.org/officeDocument/2006/relationships/ctrlProp" Target="../ctrlProps/ctrlProp24.xml"/><Relationship Id="rId11" Type="http://schemas.openxmlformats.org/officeDocument/2006/relationships/ctrlProp" Target="../ctrlProps/ctrlProp29.xml"/><Relationship Id="rId5" Type="http://schemas.openxmlformats.org/officeDocument/2006/relationships/ctrlProp" Target="../ctrlProps/ctrlProp23.xml"/><Relationship Id="rId10" Type="http://schemas.openxmlformats.org/officeDocument/2006/relationships/ctrlProp" Target="../ctrlProps/ctrlProp28.xml"/><Relationship Id="rId4" Type="http://schemas.openxmlformats.org/officeDocument/2006/relationships/ctrlProp" Target="../ctrlProps/ctrlProp22.xml"/><Relationship Id="rId9" Type="http://schemas.openxmlformats.org/officeDocument/2006/relationships/ctrlProp" Target="../ctrlProps/ctrlProp27.xml"/></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36.xml"/><Relationship Id="rId13" Type="http://schemas.openxmlformats.org/officeDocument/2006/relationships/ctrlProp" Target="../ctrlProps/ctrlProp41.xml"/><Relationship Id="rId3" Type="http://schemas.openxmlformats.org/officeDocument/2006/relationships/ctrlProp" Target="../ctrlProps/ctrlProp31.xml"/><Relationship Id="rId7" Type="http://schemas.openxmlformats.org/officeDocument/2006/relationships/ctrlProp" Target="../ctrlProps/ctrlProp35.xml"/><Relationship Id="rId12" Type="http://schemas.openxmlformats.org/officeDocument/2006/relationships/ctrlProp" Target="../ctrlProps/ctrlProp40.xml"/><Relationship Id="rId2" Type="http://schemas.openxmlformats.org/officeDocument/2006/relationships/vmlDrawing" Target="../drawings/vmlDrawing4.vml"/><Relationship Id="rId1" Type="http://schemas.openxmlformats.org/officeDocument/2006/relationships/drawing" Target="../drawings/drawing4.xml"/><Relationship Id="rId6" Type="http://schemas.openxmlformats.org/officeDocument/2006/relationships/ctrlProp" Target="../ctrlProps/ctrlProp34.xml"/><Relationship Id="rId11" Type="http://schemas.openxmlformats.org/officeDocument/2006/relationships/ctrlProp" Target="../ctrlProps/ctrlProp39.xml"/><Relationship Id="rId5" Type="http://schemas.openxmlformats.org/officeDocument/2006/relationships/ctrlProp" Target="../ctrlProps/ctrlProp33.xml"/><Relationship Id="rId15" Type="http://schemas.openxmlformats.org/officeDocument/2006/relationships/ctrlProp" Target="../ctrlProps/ctrlProp43.xml"/><Relationship Id="rId10" Type="http://schemas.openxmlformats.org/officeDocument/2006/relationships/ctrlProp" Target="../ctrlProps/ctrlProp38.xml"/><Relationship Id="rId4" Type="http://schemas.openxmlformats.org/officeDocument/2006/relationships/ctrlProp" Target="../ctrlProps/ctrlProp32.xml"/><Relationship Id="rId9" Type="http://schemas.openxmlformats.org/officeDocument/2006/relationships/ctrlProp" Target="../ctrlProps/ctrlProp37.xml"/><Relationship Id="rId14" Type="http://schemas.openxmlformats.org/officeDocument/2006/relationships/ctrlProp" Target="../ctrlProps/ctrlProp42.xml"/></Relationships>
</file>

<file path=xl/worksheets/_rels/sheet9.xml.rels><?xml version="1.0" encoding="UTF-8" standalone="yes"?>
<Relationships xmlns="http://schemas.openxmlformats.org/package/2006/relationships"><Relationship Id="rId8" Type="http://schemas.openxmlformats.org/officeDocument/2006/relationships/ctrlProp" Target="../ctrlProps/ctrlProp49.xml"/><Relationship Id="rId3" Type="http://schemas.openxmlformats.org/officeDocument/2006/relationships/ctrlProp" Target="../ctrlProps/ctrlProp44.xml"/><Relationship Id="rId7" Type="http://schemas.openxmlformats.org/officeDocument/2006/relationships/ctrlProp" Target="../ctrlProps/ctrlProp48.xml"/><Relationship Id="rId2" Type="http://schemas.openxmlformats.org/officeDocument/2006/relationships/vmlDrawing" Target="../drawings/vmlDrawing5.vml"/><Relationship Id="rId1" Type="http://schemas.openxmlformats.org/officeDocument/2006/relationships/drawing" Target="../drawings/drawing5.xml"/><Relationship Id="rId6" Type="http://schemas.openxmlformats.org/officeDocument/2006/relationships/ctrlProp" Target="../ctrlProps/ctrlProp47.xml"/><Relationship Id="rId5" Type="http://schemas.openxmlformats.org/officeDocument/2006/relationships/ctrlProp" Target="../ctrlProps/ctrlProp46.xml"/><Relationship Id="rId4" Type="http://schemas.openxmlformats.org/officeDocument/2006/relationships/ctrlProp" Target="../ctrlProps/ctrlProp4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5"/>
  <sheetViews>
    <sheetView tabSelected="1" workbookViewId="0">
      <selection activeCell="A9" sqref="A9:L13"/>
    </sheetView>
  </sheetViews>
  <sheetFormatPr defaultRowHeight="12.75"/>
  <cols>
    <col min="4" max="4" width="12.42578125" bestFit="1" customWidth="1"/>
  </cols>
  <sheetData>
    <row r="1" spans="1:12">
      <c r="A1" s="336" t="s">
        <v>543</v>
      </c>
      <c r="B1" s="337"/>
      <c r="C1" s="337"/>
      <c r="D1" s="337"/>
      <c r="E1" s="337"/>
      <c r="F1" s="337"/>
      <c r="G1" s="337"/>
      <c r="H1" s="337"/>
      <c r="I1" s="337"/>
      <c r="J1" s="337"/>
      <c r="K1" s="337"/>
      <c r="L1" s="337"/>
    </row>
    <row r="2" spans="1:12">
      <c r="A2" s="337"/>
      <c r="B2" s="337"/>
      <c r="C2" s="337"/>
      <c r="D2" s="337"/>
      <c r="E2" s="337"/>
      <c r="F2" s="337"/>
      <c r="G2" s="337"/>
      <c r="H2" s="337"/>
      <c r="I2" s="337"/>
      <c r="J2" s="337"/>
      <c r="K2" s="337"/>
      <c r="L2" s="337"/>
    </row>
    <row r="3" spans="1:12">
      <c r="A3" s="338" t="s">
        <v>545</v>
      </c>
      <c r="B3" s="339"/>
      <c r="C3" s="339"/>
      <c r="D3" s="339"/>
      <c r="E3" s="339"/>
      <c r="F3" s="339"/>
      <c r="G3" s="339"/>
      <c r="H3" s="339"/>
      <c r="I3" s="339"/>
      <c r="J3" s="339"/>
      <c r="K3" s="339"/>
      <c r="L3" s="339"/>
    </row>
    <row r="4" spans="1:12">
      <c r="A4" s="339"/>
      <c r="B4" s="339"/>
      <c r="C4" s="339"/>
      <c r="D4" s="339"/>
      <c r="E4" s="339"/>
      <c r="F4" s="339"/>
      <c r="G4" s="339"/>
      <c r="H4" s="339"/>
      <c r="I4" s="339"/>
      <c r="J4" s="339"/>
      <c r="K4" s="339"/>
      <c r="L4" s="339"/>
    </row>
    <row r="5" spans="1:12">
      <c r="A5" s="339"/>
      <c r="B5" s="339"/>
      <c r="C5" s="339"/>
      <c r="D5" s="339"/>
      <c r="E5" s="339"/>
      <c r="F5" s="339"/>
      <c r="G5" s="339"/>
      <c r="H5" s="339"/>
      <c r="I5" s="339"/>
      <c r="J5" s="339"/>
      <c r="K5" s="339"/>
      <c r="L5" s="339"/>
    </row>
    <row r="6" spans="1:12">
      <c r="A6" s="339"/>
      <c r="B6" s="339"/>
      <c r="C6" s="339"/>
      <c r="D6" s="339"/>
      <c r="E6" s="339"/>
      <c r="F6" s="339"/>
      <c r="G6" s="339"/>
      <c r="H6" s="339"/>
      <c r="I6" s="339"/>
      <c r="J6" s="339"/>
      <c r="K6" s="339"/>
      <c r="L6" s="339"/>
    </row>
    <row r="7" spans="1:12">
      <c r="A7" s="339"/>
      <c r="B7" s="339"/>
      <c r="C7" s="339"/>
      <c r="D7" s="339"/>
      <c r="E7" s="339"/>
      <c r="F7" s="339"/>
      <c r="G7" s="339"/>
      <c r="H7" s="339"/>
      <c r="I7" s="339"/>
      <c r="J7" s="339"/>
      <c r="K7" s="339"/>
      <c r="L7" s="339"/>
    </row>
    <row r="8" spans="1:12">
      <c r="A8" s="339"/>
      <c r="B8" s="339"/>
      <c r="C8" s="339"/>
      <c r="D8" s="339"/>
      <c r="E8" s="339"/>
      <c r="F8" s="339"/>
      <c r="G8" s="339"/>
      <c r="H8" s="339"/>
      <c r="I8" s="339"/>
      <c r="J8" s="339"/>
      <c r="K8" s="339"/>
      <c r="L8" s="339"/>
    </row>
    <row r="9" spans="1:12">
      <c r="A9" s="338" t="s">
        <v>544</v>
      </c>
      <c r="B9" s="338"/>
      <c r="C9" s="338"/>
      <c r="D9" s="338"/>
      <c r="E9" s="338"/>
      <c r="F9" s="338"/>
      <c r="G9" s="338"/>
      <c r="H9" s="338"/>
      <c r="I9" s="338"/>
      <c r="J9" s="338"/>
      <c r="K9" s="338"/>
      <c r="L9" s="338"/>
    </row>
    <row r="10" spans="1:12">
      <c r="A10" s="338"/>
      <c r="B10" s="338"/>
      <c r="C10" s="338"/>
      <c r="D10" s="338"/>
      <c r="E10" s="338"/>
      <c r="F10" s="338"/>
      <c r="G10" s="338"/>
      <c r="H10" s="338"/>
      <c r="I10" s="338"/>
      <c r="J10" s="338"/>
      <c r="K10" s="338"/>
      <c r="L10" s="338"/>
    </row>
    <row r="11" spans="1:12">
      <c r="A11" s="338"/>
      <c r="B11" s="338"/>
      <c r="C11" s="338"/>
      <c r="D11" s="338"/>
      <c r="E11" s="338"/>
      <c r="F11" s="338"/>
      <c r="G11" s="338"/>
      <c r="H11" s="338"/>
      <c r="I11" s="338"/>
      <c r="J11" s="338"/>
      <c r="K11" s="338"/>
      <c r="L11" s="338"/>
    </row>
    <row r="12" spans="1:12">
      <c r="A12" s="338"/>
      <c r="B12" s="338"/>
      <c r="C12" s="338"/>
      <c r="D12" s="338"/>
      <c r="E12" s="338"/>
      <c r="F12" s="338"/>
      <c r="G12" s="338"/>
      <c r="H12" s="338"/>
      <c r="I12" s="338"/>
      <c r="J12" s="338"/>
      <c r="K12" s="338"/>
      <c r="L12" s="338"/>
    </row>
    <row r="13" spans="1:12">
      <c r="A13" s="338"/>
      <c r="B13" s="338"/>
      <c r="C13" s="338"/>
      <c r="D13" s="338"/>
      <c r="E13" s="338"/>
      <c r="F13" s="338"/>
      <c r="G13" s="338"/>
      <c r="H13" s="338"/>
      <c r="I13" s="338"/>
      <c r="J13" s="338"/>
      <c r="K13" s="338"/>
      <c r="L13" s="338"/>
    </row>
    <row r="14" spans="1:12">
      <c r="A14" s="335"/>
      <c r="B14" s="335"/>
      <c r="C14" s="335"/>
      <c r="D14" s="335"/>
      <c r="E14" s="335"/>
      <c r="F14" s="335"/>
      <c r="G14" s="335"/>
      <c r="H14" s="335"/>
      <c r="I14" s="335"/>
      <c r="J14" s="335"/>
      <c r="K14" s="335"/>
      <c r="L14" s="335"/>
    </row>
    <row r="15" spans="1:12">
      <c r="A15" s="335"/>
      <c r="B15" s="335"/>
      <c r="C15" s="335"/>
      <c r="D15" s="335"/>
      <c r="E15" s="335"/>
      <c r="F15" s="335"/>
      <c r="G15" s="335"/>
      <c r="H15" s="335"/>
      <c r="I15" s="335"/>
      <c r="J15" s="335"/>
      <c r="K15" s="335"/>
      <c r="L15" s="335"/>
    </row>
  </sheetData>
  <mergeCells count="3">
    <mergeCell ref="A1:L2"/>
    <mergeCell ref="A3:L8"/>
    <mergeCell ref="A9:L13"/>
  </mergeCells>
  <phoneticPr fontId="49" type="noConversion"/>
  <pageMargins left="0.75" right="0.75" top="1" bottom="1" header="0.5" footer="0.5"/>
  <pageSetup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9"/>
  <sheetViews>
    <sheetView workbookViewId="0">
      <selection activeCell="F6" sqref="F6"/>
    </sheetView>
  </sheetViews>
  <sheetFormatPr defaultRowHeight="12.75"/>
  <cols>
    <col min="1" max="1" width="59.140625" customWidth="1"/>
    <col min="3" max="3" width="16.5703125" customWidth="1"/>
    <col min="5" max="5" width="11.42578125" customWidth="1"/>
  </cols>
  <sheetData>
    <row r="1" spans="1:7" ht="15.75">
      <c r="A1" s="43" t="s">
        <v>145</v>
      </c>
      <c r="B1" s="44"/>
      <c r="C1" s="44"/>
      <c r="D1" s="44"/>
      <c r="E1" s="44"/>
      <c r="F1" s="68"/>
      <c r="G1" s="252"/>
    </row>
    <row r="2" spans="1:7" ht="15.75" thickBot="1">
      <c r="A2" s="457" t="s">
        <v>132</v>
      </c>
      <c r="B2" s="457"/>
      <c r="C2" s="457"/>
      <c r="D2" s="457"/>
      <c r="E2" s="457"/>
      <c r="F2" s="457"/>
      <c r="G2" s="457"/>
    </row>
    <row r="3" spans="1:7" ht="16.5" thickBot="1">
      <c r="A3" s="69" t="s">
        <v>110</v>
      </c>
      <c r="B3" s="70"/>
      <c r="C3" s="70"/>
      <c r="D3" s="70"/>
      <c r="E3" s="238" t="s">
        <v>49</v>
      </c>
      <c r="F3" s="44"/>
      <c r="G3" s="252"/>
    </row>
    <row r="4" spans="1:7" ht="28.5" customHeight="1" thickBot="1">
      <c r="A4" s="237" t="s">
        <v>10</v>
      </c>
      <c r="B4" s="236"/>
      <c r="C4" s="236"/>
      <c r="D4" s="236"/>
      <c r="E4" s="239"/>
      <c r="F4" s="44"/>
      <c r="G4" s="252"/>
    </row>
    <row r="5" spans="1:7" ht="39" customHeight="1" thickBot="1">
      <c r="A5" s="71" t="s">
        <v>9</v>
      </c>
      <c r="B5" s="72"/>
      <c r="C5" s="72"/>
      <c r="D5" s="72"/>
      <c r="E5" s="240"/>
      <c r="F5" s="44"/>
      <c r="G5" s="252"/>
    </row>
    <row r="6" spans="1:7" ht="27.75" customHeight="1">
      <c r="A6" s="71" t="s">
        <v>84</v>
      </c>
      <c r="B6" s="72"/>
      <c r="C6" s="72"/>
      <c r="D6" s="72"/>
      <c r="E6" s="334">
        <f>(E4*E5)/7.48*0.9</f>
        <v>0</v>
      </c>
      <c r="F6" s="44"/>
      <c r="G6" s="252"/>
    </row>
    <row r="7" spans="1:7" ht="13.5" thickBot="1">
      <c r="A7" s="73"/>
      <c r="B7" s="74"/>
      <c r="C7" s="74"/>
      <c r="D7" s="74"/>
      <c r="E7" s="75"/>
      <c r="F7" s="63"/>
      <c r="G7" s="257"/>
    </row>
    <row r="8" spans="1:7">
      <c r="A8" s="63"/>
      <c r="B8" s="63"/>
      <c r="C8" s="63"/>
      <c r="D8" s="63"/>
      <c r="E8" s="63"/>
      <c r="F8" s="63"/>
      <c r="G8" s="257"/>
    </row>
    <row r="9" spans="1:7" ht="14.25">
      <c r="A9" s="76" t="s">
        <v>20</v>
      </c>
      <c r="B9" s="77"/>
      <c r="C9" s="63"/>
      <c r="D9" s="135" t="s">
        <v>53</v>
      </c>
      <c r="E9" s="63"/>
      <c r="F9" s="257"/>
    </row>
  </sheetData>
  <mergeCells count="1">
    <mergeCell ref="A2:G2"/>
  </mergeCells>
  <phoneticPr fontId="49" type="noConversion"/>
  <hyperlinks>
    <hyperlink ref="D9" location="'Volume Calculator'!A1" display="Return to Calculator"/>
  </hyperlinks>
  <pageMargins left="0.75" right="0.75" top="1" bottom="1" header="0.5" footer="0.5"/>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tabColor indexed="45"/>
  </sheetPr>
  <dimension ref="A1:Q26"/>
  <sheetViews>
    <sheetView zoomScale="125" zoomScaleNormal="120" workbookViewId="0">
      <selection activeCell="G15" sqref="G15"/>
    </sheetView>
  </sheetViews>
  <sheetFormatPr defaultColWidth="8.85546875" defaultRowHeight="11.25"/>
  <cols>
    <col min="1" max="1" width="27.140625" style="112" bestFit="1" customWidth="1"/>
    <col min="2" max="2" width="8.85546875" style="112" customWidth="1"/>
    <col min="3" max="3" width="0.42578125" style="112" hidden="1" customWidth="1"/>
    <col min="4" max="4" width="0.140625" style="112" customWidth="1"/>
    <col min="5" max="5" width="12.85546875" style="112" customWidth="1"/>
    <col min="6" max="6" width="13.28515625" style="112" customWidth="1"/>
    <col min="7" max="7" width="39.42578125" style="112" customWidth="1"/>
    <col min="8" max="8" width="8.42578125" style="112" hidden="1" customWidth="1"/>
    <col min="9" max="9" width="17" style="114" hidden="1" customWidth="1"/>
    <col min="10" max="10" width="8.42578125" style="133" hidden="1" customWidth="1"/>
    <col min="11" max="11" width="8.85546875" style="133" hidden="1" customWidth="1"/>
    <col min="12" max="12" width="7.85546875" style="133" hidden="1" customWidth="1"/>
    <col min="13" max="13" width="9.28515625" style="133" hidden="1" customWidth="1"/>
    <col min="14" max="15" width="7.85546875" style="133" hidden="1" customWidth="1"/>
    <col min="16" max="16" width="8.85546875" style="133" customWidth="1"/>
    <col min="17" max="17" width="8.85546875" style="134" customWidth="1"/>
    <col min="18" max="18" width="8.85546875" style="112" customWidth="1"/>
    <col min="19" max="16384" width="8.85546875" style="112"/>
  </cols>
  <sheetData>
    <row r="1" spans="1:17">
      <c r="A1" s="111"/>
      <c r="F1" s="113"/>
      <c r="J1" s="114"/>
      <c r="K1" s="114"/>
      <c r="L1" s="114"/>
      <c r="M1" s="114"/>
      <c r="N1" s="114"/>
      <c r="O1" s="114"/>
      <c r="P1" s="114"/>
      <c r="Q1" s="112"/>
    </row>
    <row r="2" spans="1:17" ht="12" customHeight="1" thickBot="1">
      <c r="A2" s="523" t="s">
        <v>129</v>
      </c>
      <c r="B2" s="523"/>
      <c r="C2" s="523"/>
      <c r="D2" s="523"/>
      <c r="E2" s="523"/>
      <c r="F2" s="523"/>
      <c r="G2" s="523"/>
      <c r="H2" s="115"/>
      <c r="J2" s="114"/>
      <c r="K2" s="114"/>
      <c r="L2" s="114"/>
      <c r="M2" s="114"/>
      <c r="N2" s="114"/>
      <c r="O2" s="114"/>
      <c r="P2" s="114"/>
      <c r="Q2" s="112"/>
    </row>
    <row r="3" spans="1:17" hidden="1">
      <c r="A3" s="116"/>
      <c r="J3" s="114"/>
      <c r="K3" s="114"/>
      <c r="L3" s="114"/>
      <c r="M3" s="114"/>
      <c r="N3" s="114"/>
      <c r="O3" s="114"/>
      <c r="P3" s="114"/>
      <c r="Q3" s="112"/>
    </row>
    <row r="4" spans="1:17" hidden="1">
      <c r="J4" s="114"/>
      <c r="K4" s="114"/>
      <c r="L4" s="114"/>
      <c r="M4" s="114"/>
      <c r="N4" s="114"/>
      <c r="O4" s="114"/>
      <c r="P4" s="114"/>
      <c r="Q4" s="112"/>
    </row>
    <row r="5" spans="1:17" ht="12" hidden="1" thickBot="1">
      <c r="J5" s="114"/>
      <c r="K5" s="114"/>
      <c r="L5" s="114"/>
      <c r="M5" s="114"/>
      <c r="N5" s="114"/>
      <c r="O5" s="114"/>
      <c r="P5" s="114"/>
      <c r="Q5" s="112"/>
    </row>
    <row r="6" spans="1:17" ht="18" customHeight="1" thickBot="1">
      <c r="A6" s="524"/>
      <c r="B6" s="525"/>
      <c r="C6" s="525"/>
      <c r="D6" s="525"/>
      <c r="E6" s="525"/>
      <c r="F6" s="526"/>
      <c r="G6" s="117" t="s">
        <v>49</v>
      </c>
      <c r="H6" s="118"/>
      <c r="J6" s="114"/>
      <c r="K6" s="114"/>
      <c r="L6" s="114"/>
      <c r="M6" s="114"/>
      <c r="N6" s="114"/>
      <c r="O6" s="114"/>
      <c r="P6" s="114"/>
      <c r="Q6" s="112"/>
    </row>
    <row r="7" spans="1:17" ht="18" customHeight="1">
      <c r="A7" s="532"/>
      <c r="B7" s="532"/>
      <c r="C7" s="532"/>
      <c r="D7" s="532"/>
      <c r="E7" s="532"/>
      <c r="F7" s="532"/>
      <c r="G7" s="320"/>
      <c r="H7" s="118"/>
      <c r="J7" s="114"/>
      <c r="K7" s="114"/>
      <c r="L7" s="114"/>
      <c r="M7" s="114"/>
      <c r="N7" s="114"/>
      <c r="O7" s="114"/>
      <c r="P7" s="114"/>
      <c r="Q7" s="112"/>
    </row>
    <row r="8" spans="1:17" ht="41.1" customHeight="1">
      <c r="A8" s="527" t="s">
        <v>79</v>
      </c>
      <c r="B8" s="528"/>
      <c r="C8" s="528"/>
      <c r="D8" s="528"/>
      <c r="E8" s="528"/>
      <c r="F8" s="529"/>
      <c r="G8" s="319"/>
      <c r="H8" s="119"/>
      <c r="J8" s="317">
        <v>2</v>
      </c>
      <c r="K8" s="114"/>
      <c r="L8" s="114"/>
      <c r="M8" s="114"/>
      <c r="N8" s="114"/>
      <c r="O8" s="114"/>
      <c r="P8" s="114"/>
      <c r="Q8" s="112"/>
    </row>
    <row r="9" spans="1:17" ht="36" customHeight="1">
      <c r="A9" s="530" t="s">
        <v>0</v>
      </c>
      <c r="B9" s="530"/>
      <c r="C9" s="530"/>
      <c r="D9" s="530"/>
      <c r="E9" s="530"/>
      <c r="F9" s="531"/>
      <c r="G9" s="248"/>
      <c r="H9" s="120"/>
      <c r="J9" s="114"/>
      <c r="K9" s="114"/>
      <c r="L9" s="114"/>
      <c r="M9" s="114">
        <f>IF(G9="",M10,G9)</f>
        <v>0</v>
      </c>
      <c r="N9" s="114"/>
      <c r="O9" s="114"/>
      <c r="P9" s="114"/>
      <c r="Q9" s="112"/>
    </row>
    <row r="10" spans="1:17" ht="36" customHeight="1">
      <c r="A10" s="530" t="s">
        <v>199</v>
      </c>
      <c r="B10" s="530"/>
      <c r="C10" s="530"/>
      <c r="D10" s="530"/>
      <c r="E10" s="530"/>
      <c r="F10" s="531"/>
      <c r="G10" s="249" t="s">
        <v>26</v>
      </c>
      <c r="H10" s="121"/>
      <c r="J10" s="114"/>
      <c r="K10" s="114"/>
      <c r="L10" s="114"/>
      <c r="M10" s="114">
        <f>IF(G10="Soil Type",0,VLOOKUP(G10,M14:N20,2,0))</f>
        <v>0</v>
      </c>
      <c r="N10" s="114"/>
      <c r="O10" s="114"/>
      <c r="P10" s="114"/>
      <c r="Q10" s="112"/>
    </row>
    <row r="11" spans="1:17" ht="36" customHeight="1">
      <c r="A11" s="522" t="s">
        <v>534</v>
      </c>
      <c r="B11" s="522"/>
      <c r="C11" s="522"/>
      <c r="D11" s="522"/>
      <c r="E11" s="522"/>
      <c r="F11" s="522"/>
      <c r="G11" s="249"/>
      <c r="H11" s="122"/>
      <c r="J11" s="114"/>
      <c r="K11" s="114"/>
      <c r="L11" s="114"/>
      <c r="M11" s="114"/>
      <c r="N11" s="114"/>
      <c r="O11" s="114"/>
      <c r="P11" s="114"/>
      <c r="Q11" s="112"/>
    </row>
    <row r="12" spans="1:17" ht="36" customHeight="1">
      <c r="A12" s="522" t="s">
        <v>533</v>
      </c>
      <c r="B12" s="522"/>
      <c r="C12" s="522"/>
      <c r="D12" s="522"/>
      <c r="E12" s="522"/>
      <c r="F12" s="522"/>
      <c r="G12" s="249"/>
      <c r="H12" s="122"/>
      <c r="J12" s="114"/>
      <c r="K12" s="114"/>
      <c r="L12" s="114"/>
      <c r="M12" s="114"/>
      <c r="N12" s="114"/>
      <c r="O12" s="114"/>
      <c r="P12" s="114"/>
      <c r="Q12" s="112"/>
    </row>
    <row r="13" spans="1:17" ht="12.75">
      <c r="A13" s="521"/>
      <c r="B13" s="521"/>
      <c r="C13" s="521"/>
      <c r="D13" s="521"/>
      <c r="E13" s="521"/>
      <c r="F13" s="521"/>
      <c r="G13" s="136" t="s">
        <v>53</v>
      </c>
      <c r="H13" s="123"/>
      <c r="J13" s="114"/>
      <c r="K13" s="114"/>
      <c r="L13" s="114"/>
      <c r="M13" s="114" t="s">
        <v>26</v>
      </c>
      <c r="N13" s="114"/>
      <c r="O13" s="114"/>
      <c r="P13" s="114"/>
      <c r="Q13" s="112"/>
    </row>
    <row r="14" spans="1:17">
      <c r="A14" s="124" t="s">
        <v>121</v>
      </c>
      <c r="J14" s="114"/>
      <c r="K14" s="114"/>
      <c r="L14" s="114"/>
      <c r="M14" s="114" t="s">
        <v>89</v>
      </c>
      <c r="N14" s="114">
        <v>1.6</v>
      </c>
      <c r="O14" s="114"/>
      <c r="P14" s="114"/>
      <c r="Q14" s="112"/>
    </row>
    <row r="15" spans="1:17">
      <c r="A15" s="125" t="s">
        <v>89</v>
      </c>
      <c r="B15" s="126" t="s">
        <v>117</v>
      </c>
      <c r="F15" s="332" t="s">
        <v>537</v>
      </c>
      <c r="G15" s="333" t="str">
        <f>IF(G10="Soil Type","",IF('Volume Calculator'!H6="Soil Type",0,IF(H15-(VLOOKUP('Volume Calculator'!H6,'No Edit'!G2:J5,4,0))&lt;=0,0,(H15-(VLOOKUP('Volume Calculator'!H6,'No Edit'!G2:J5,4,0)))*(80/100)*J16)))</f>
        <v/>
      </c>
      <c r="H15" s="318" t="str">
        <f>IF(M9=0,"",M9)</f>
        <v/>
      </c>
      <c r="J15" s="114" t="s">
        <v>536</v>
      </c>
      <c r="K15" s="114"/>
      <c r="L15" s="114"/>
      <c r="M15" s="114" t="s">
        <v>116</v>
      </c>
      <c r="N15" s="114">
        <v>1.4</v>
      </c>
      <c r="O15" s="114"/>
      <c r="P15" s="114"/>
      <c r="Q15" s="112"/>
    </row>
    <row r="16" spans="1:17">
      <c r="A16" s="127" t="s">
        <v>116</v>
      </c>
      <c r="B16" s="128" t="s">
        <v>118</v>
      </c>
      <c r="J16" s="114">
        <f>SUM(((G11/12)*G12*43560))</f>
        <v>0</v>
      </c>
      <c r="K16" s="114" t="s">
        <v>202</v>
      </c>
      <c r="L16" s="114"/>
      <c r="M16" s="114" t="s">
        <v>85</v>
      </c>
      <c r="N16" s="114">
        <v>1.4</v>
      </c>
      <c r="O16" s="114"/>
      <c r="P16" s="114"/>
      <c r="Q16" s="112"/>
    </row>
    <row r="17" spans="1:17" ht="11.25" customHeight="1">
      <c r="A17" s="127" t="s">
        <v>85</v>
      </c>
      <c r="B17" s="128" t="s">
        <v>118</v>
      </c>
      <c r="G17" s="331"/>
      <c r="H17" s="129"/>
      <c r="J17" s="114"/>
      <c r="K17" s="114"/>
      <c r="L17" s="114"/>
      <c r="M17" s="114" t="s">
        <v>86</v>
      </c>
      <c r="N17" s="114">
        <v>1.3</v>
      </c>
      <c r="O17" s="114"/>
      <c r="P17" s="114"/>
      <c r="Q17" s="112"/>
    </row>
    <row r="18" spans="1:17">
      <c r="A18" s="127" t="s">
        <v>86</v>
      </c>
      <c r="B18" s="128" t="s">
        <v>119</v>
      </c>
      <c r="G18" s="331"/>
      <c r="H18" s="129"/>
      <c r="J18" s="114"/>
      <c r="K18" s="114"/>
      <c r="L18" s="114"/>
      <c r="M18" s="114" t="s">
        <v>87</v>
      </c>
      <c r="N18" s="114">
        <v>1.1000000000000001</v>
      </c>
      <c r="O18" s="114"/>
      <c r="P18" s="114"/>
      <c r="Q18" s="112"/>
    </row>
    <row r="19" spans="1:17">
      <c r="A19" s="127" t="s">
        <v>87</v>
      </c>
      <c r="B19" s="128" t="s">
        <v>120</v>
      </c>
      <c r="G19" s="331"/>
      <c r="H19" s="129"/>
      <c r="J19" s="114"/>
      <c r="K19" s="114"/>
      <c r="L19" s="114"/>
      <c r="M19" s="114" t="s">
        <v>130</v>
      </c>
      <c r="N19" s="114">
        <v>1.1000000000000001</v>
      </c>
      <c r="O19" s="114"/>
      <c r="P19" s="114"/>
      <c r="Q19" s="112"/>
    </row>
    <row r="20" spans="1:17" ht="22.5">
      <c r="A20" s="127" t="s">
        <v>130</v>
      </c>
      <c r="B20" s="128" t="s">
        <v>120</v>
      </c>
      <c r="G20" s="331"/>
      <c r="H20" s="129"/>
      <c r="J20" s="114"/>
      <c r="K20" s="114"/>
      <c r="L20" s="114"/>
      <c r="M20" s="114" t="s">
        <v>88</v>
      </c>
      <c r="N20" s="114">
        <v>1.1000000000000001</v>
      </c>
      <c r="O20" s="114"/>
      <c r="P20" s="114"/>
      <c r="Q20" s="112"/>
    </row>
    <row r="21" spans="1:17">
      <c r="A21" s="130" t="s">
        <v>88</v>
      </c>
      <c r="B21" s="131" t="s">
        <v>120</v>
      </c>
      <c r="G21" s="331"/>
      <c r="H21" s="129"/>
      <c r="J21" s="114"/>
      <c r="K21" s="114"/>
      <c r="L21" s="114"/>
      <c r="M21" s="114"/>
      <c r="N21" s="114"/>
      <c r="O21" s="114"/>
      <c r="P21" s="114"/>
      <c r="Q21" s="112"/>
    </row>
    <row r="22" spans="1:17" ht="23.25" customHeight="1">
      <c r="A22" s="520" t="s">
        <v>200</v>
      </c>
      <c r="B22" s="520"/>
      <c r="G22" s="331"/>
      <c r="H22" s="129"/>
      <c r="J22" s="114"/>
      <c r="K22" s="114"/>
      <c r="L22" s="114"/>
      <c r="M22" s="114"/>
      <c r="N22" s="114"/>
      <c r="O22" s="114"/>
      <c r="P22" s="114"/>
      <c r="Q22" s="112"/>
    </row>
    <row r="23" spans="1:17">
      <c r="A23" s="132" t="s">
        <v>279</v>
      </c>
      <c r="G23" s="331"/>
      <c r="H23" s="129"/>
      <c r="J23" s="114"/>
      <c r="K23" s="114"/>
      <c r="L23" s="114"/>
      <c r="M23" s="114"/>
      <c r="N23" s="114"/>
      <c r="O23" s="114"/>
      <c r="P23" s="114"/>
      <c r="Q23" s="112"/>
    </row>
    <row r="24" spans="1:17">
      <c r="K24" s="114"/>
      <c r="L24" s="114"/>
      <c r="M24" s="114"/>
      <c r="N24" s="114"/>
      <c r="O24" s="114"/>
      <c r="P24" s="114"/>
      <c r="Q24" s="112"/>
    </row>
    <row r="25" spans="1:17">
      <c r="A25" s="112" t="s">
        <v>115</v>
      </c>
      <c r="C25" s="132" t="s">
        <v>43</v>
      </c>
      <c r="K25" s="114"/>
      <c r="L25" s="114"/>
      <c r="M25" s="114"/>
      <c r="N25" s="114"/>
      <c r="O25" s="114"/>
      <c r="P25" s="114"/>
      <c r="Q25" s="112"/>
    </row>
    <row r="26" spans="1:17" ht="12.75">
      <c r="A26" s="330" t="s">
        <v>335</v>
      </c>
    </row>
  </sheetData>
  <sheetProtection formatRows="0"/>
  <mergeCells count="10">
    <mergeCell ref="A22:B22"/>
    <mergeCell ref="A13:F13"/>
    <mergeCell ref="A11:F11"/>
    <mergeCell ref="A12:F12"/>
    <mergeCell ref="A2:G2"/>
    <mergeCell ref="A6:F6"/>
    <mergeCell ref="A8:F8"/>
    <mergeCell ref="A10:F10"/>
    <mergeCell ref="A9:F9"/>
    <mergeCell ref="A7:F7"/>
  </mergeCells>
  <phoneticPr fontId="0" type="noConversion"/>
  <dataValidations count="1">
    <dataValidation type="list" allowBlank="1" showInputMessage="1" showErrorMessage="1" sqref="G10:H10">
      <formula1>Soil3</formula1>
    </dataValidation>
  </dataValidations>
  <hyperlinks>
    <hyperlink ref="G13" location="'Volume Calculator'!A1" display="Return to Calculator"/>
    <hyperlink ref="A23" r:id="rId1"/>
    <hyperlink ref="C25" r:id="rId2"/>
    <hyperlink ref="A26" r:id="rId3"/>
  </hyperlinks>
  <pageMargins left="0.75" right="0.75" top="1" bottom="1" header="0.5" footer="0.5"/>
  <pageSetup orientation="portrait" r:id="rId4"/>
  <headerFooter alignWithMargins="0"/>
  <drawing r:id="rId5"/>
  <legacyDrawing r:id="rId6"/>
  <mc:AlternateContent xmlns:mc="http://schemas.openxmlformats.org/markup-compatibility/2006">
    <mc:Choice Requires="x14">
      <controls>
        <mc:AlternateContent xmlns:mc="http://schemas.openxmlformats.org/markup-compatibility/2006">
          <mc:Choice Requires="x14">
            <control shapeId="1039" r:id="rId7" name="Option Button 15">
              <controlPr defaultSize="0" autoFill="0" autoLine="0" autoPict="0">
                <anchor moveWithCells="1">
                  <from>
                    <xdr:col>6</xdr:col>
                    <xdr:colOff>76200</xdr:colOff>
                    <xdr:row>7</xdr:row>
                    <xdr:rowOff>76200</xdr:rowOff>
                  </from>
                  <to>
                    <xdr:col>6</xdr:col>
                    <xdr:colOff>866775</xdr:colOff>
                    <xdr:row>8</xdr:row>
                    <xdr:rowOff>47625</xdr:rowOff>
                  </to>
                </anchor>
              </controlPr>
            </control>
          </mc:Choice>
        </mc:AlternateContent>
        <mc:AlternateContent xmlns:mc="http://schemas.openxmlformats.org/markup-compatibility/2006">
          <mc:Choice Requires="x14">
            <control shapeId="1040" r:id="rId8" name="Option Button 16">
              <controlPr defaultSize="0" autoFill="0" autoLine="0" autoPict="0">
                <anchor moveWithCells="1">
                  <from>
                    <xdr:col>6</xdr:col>
                    <xdr:colOff>619125</xdr:colOff>
                    <xdr:row>7</xdr:row>
                    <xdr:rowOff>85725</xdr:rowOff>
                  </from>
                  <to>
                    <xdr:col>6</xdr:col>
                    <xdr:colOff>1628775</xdr:colOff>
                    <xdr:row>8</xdr:row>
                    <xdr:rowOff>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T239"/>
  <sheetViews>
    <sheetView topLeftCell="E1" zoomScale="57" zoomScaleNormal="57" workbookViewId="0">
      <selection activeCell="J1" sqref="J1"/>
    </sheetView>
  </sheetViews>
  <sheetFormatPr defaultRowHeight="20.25"/>
  <cols>
    <col min="1" max="1" width="80.42578125" style="89" customWidth="1"/>
    <col min="2" max="8" width="33.42578125" style="89" customWidth="1"/>
    <col min="9" max="9" width="34.85546875" style="89" customWidth="1"/>
    <col min="10" max="10" width="33.42578125" style="90" customWidth="1"/>
    <col min="11" max="11" width="49.28515625" style="90" customWidth="1"/>
    <col min="12" max="14" width="33.42578125" style="90" customWidth="1"/>
    <col min="15" max="16384" width="9.140625" style="90"/>
  </cols>
  <sheetData>
    <row r="1" spans="1:20" ht="25.5" customHeight="1">
      <c r="A1" s="99" t="s">
        <v>205</v>
      </c>
      <c r="B1" s="156" t="s">
        <v>206</v>
      </c>
      <c r="C1" s="156"/>
      <c r="D1" s="156"/>
      <c r="E1" s="101"/>
      <c r="G1" s="89" t="s">
        <v>26</v>
      </c>
      <c r="J1" s="90" t="s">
        <v>535</v>
      </c>
      <c r="N1" s="309" t="s">
        <v>340</v>
      </c>
      <c r="O1" s="533" t="s">
        <v>391</v>
      </c>
      <c r="P1" s="533"/>
      <c r="Q1" s="533"/>
      <c r="R1" s="533"/>
      <c r="S1" s="533"/>
      <c r="T1" s="533"/>
    </row>
    <row r="2" spans="1:20" ht="20.25" customHeight="1">
      <c r="A2" s="152" t="s">
        <v>438</v>
      </c>
      <c r="B2" s="157" t="s">
        <v>207</v>
      </c>
      <c r="C2" s="157" t="s">
        <v>208</v>
      </c>
      <c r="D2" s="157" t="s">
        <v>277</v>
      </c>
      <c r="E2" s="104" t="s">
        <v>278</v>
      </c>
      <c r="G2" s="89" t="s">
        <v>101</v>
      </c>
      <c r="H2" s="89">
        <v>1</v>
      </c>
      <c r="I2" s="89" t="s">
        <v>471</v>
      </c>
      <c r="J2" s="90">
        <v>1.6</v>
      </c>
      <c r="L2" s="310" t="s">
        <v>131</v>
      </c>
      <c r="M2" s="311" t="s">
        <v>479</v>
      </c>
      <c r="N2" s="312">
        <v>0</v>
      </c>
      <c r="O2" s="533"/>
      <c r="P2" s="533"/>
      <c r="Q2" s="533"/>
      <c r="R2" s="533"/>
      <c r="S2" s="533"/>
      <c r="T2" s="533"/>
    </row>
    <row r="3" spans="1:20" ht="20.25" customHeight="1">
      <c r="A3" s="158" t="s">
        <v>480</v>
      </c>
      <c r="B3" s="157">
        <v>68</v>
      </c>
      <c r="C3" s="157">
        <v>79</v>
      </c>
      <c r="D3" s="157">
        <v>86</v>
      </c>
      <c r="E3" s="104">
        <v>89</v>
      </c>
      <c r="G3" s="89" t="s">
        <v>102</v>
      </c>
      <c r="H3" s="89">
        <v>2</v>
      </c>
      <c r="I3" s="89" t="s">
        <v>472</v>
      </c>
      <c r="J3" s="90">
        <v>1.4</v>
      </c>
      <c r="L3" s="310" t="s">
        <v>140</v>
      </c>
      <c r="M3" s="313" t="s">
        <v>341</v>
      </c>
      <c r="N3" s="314">
        <v>0.78</v>
      </c>
      <c r="O3" s="533"/>
      <c r="P3" s="533"/>
      <c r="Q3" s="533"/>
      <c r="R3" s="533"/>
      <c r="S3" s="533"/>
      <c r="T3" s="533"/>
    </row>
    <row r="4" spans="1:20" ht="20.25" customHeight="1">
      <c r="A4" s="158" t="s">
        <v>481</v>
      </c>
      <c r="B4" s="157">
        <v>49</v>
      </c>
      <c r="C4" s="157">
        <v>69</v>
      </c>
      <c r="D4" s="157">
        <v>79</v>
      </c>
      <c r="E4" s="104">
        <v>84</v>
      </c>
      <c r="G4" s="89" t="s">
        <v>103</v>
      </c>
      <c r="H4" s="89">
        <v>3</v>
      </c>
      <c r="I4" s="89" t="s">
        <v>473</v>
      </c>
      <c r="J4" s="90">
        <v>1.3</v>
      </c>
      <c r="L4" s="310" t="s">
        <v>140</v>
      </c>
      <c r="M4" s="313" t="s">
        <v>209</v>
      </c>
      <c r="N4" s="314">
        <v>0.86</v>
      </c>
      <c r="O4" s="533"/>
      <c r="P4" s="533"/>
      <c r="Q4" s="533"/>
      <c r="R4" s="533"/>
      <c r="S4" s="533"/>
      <c r="T4" s="533"/>
    </row>
    <row r="5" spans="1:20" ht="20.25" customHeight="1">
      <c r="A5" s="158" t="s">
        <v>482</v>
      </c>
      <c r="B5" s="157">
        <v>39</v>
      </c>
      <c r="C5" s="157">
        <v>61</v>
      </c>
      <c r="D5" s="157">
        <v>74</v>
      </c>
      <c r="E5" s="104">
        <v>80</v>
      </c>
      <c r="G5" s="89" t="s">
        <v>104</v>
      </c>
      <c r="H5" s="89">
        <v>4</v>
      </c>
      <c r="I5" s="89" t="s">
        <v>474</v>
      </c>
      <c r="J5" s="90">
        <v>1.1000000000000001</v>
      </c>
      <c r="L5" s="310" t="s">
        <v>140</v>
      </c>
      <c r="M5" s="313" t="s">
        <v>210</v>
      </c>
      <c r="N5" s="314">
        <v>0.59</v>
      </c>
      <c r="O5" s="533"/>
      <c r="P5" s="533"/>
      <c r="Q5" s="533"/>
      <c r="R5" s="533"/>
      <c r="S5" s="533"/>
      <c r="T5" s="533"/>
    </row>
    <row r="6" spans="1:20" ht="20.25" customHeight="1">
      <c r="A6" s="158" t="s">
        <v>483</v>
      </c>
      <c r="B6" s="157">
        <v>63</v>
      </c>
      <c r="C6" s="157">
        <v>77</v>
      </c>
      <c r="D6" s="157">
        <v>85</v>
      </c>
      <c r="E6" s="104">
        <v>88</v>
      </c>
      <c r="L6" s="310" t="s">
        <v>140</v>
      </c>
      <c r="M6" s="313" t="s">
        <v>211</v>
      </c>
      <c r="N6" s="314">
        <v>0.72</v>
      </c>
      <c r="O6" s="533"/>
      <c r="P6" s="533"/>
      <c r="Q6" s="533"/>
      <c r="R6" s="533"/>
      <c r="S6" s="533"/>
      <c r="T6" s="533"/>
    </row>
    <row r="7" spans="1:20" ht="20.25" customHeight="1">
      <c r="A7" s="158" t="s">
        <v>484</v>
      </c>
      <c r="B7" s="157">
        <v>77</v>
      </c>
      <c r="C7" s="157">
        <v>86</v>
      </c>
      <c r="D7" s="157">
        <v>91</v>
      </c>
      <c r="E7" s="104">
        <v>94</v>
      </c>
      <c r="L7" s="310" t="s">
        <v>141</v>
      </c>
      <c r="M7" s="313" t="s">
        <v>212</v>
      </c>
      <c r="N7" s="314">
        <v>0.62</v>
      </c>
      <c r="O7" s="533"/>
      <c r="P7" s="533"/>
      <c r="Q7" s="533"/>
      <c r="R7" s="533"/>
      <c r="S7" s="533"/>
      <c r="T7" s="533"/>
    </row>
    <row r="8" spans="1:20" ht="23.25">
      <c r="A8" s="158" t="s">
        <v>376</v>
      </c>
      <c r="B8" s="157">
        <v>76</v>
      </c>
      <c r="C8" s="157">
        <v>85</v>
      </c>
      <c r="D8" s="157">
        <v>90</v>
      </c>
      <c r="E8" s="104">
        <v>93</v>
      </c>
      <c r="L8" s="310" t="s">
        <v>142</v>
      </c>
      <c r="M8" s="313" t="s">
        <v>213</v>
      </c>
      <c r="N8" s="314">
        <v>1.18</v>
      </c>
    </row>
    <row r="9" spans="1:20" ht="23.25">
      <c r="A9" s="158" t="s">
        <v>377</v>
      </c>
      <c r="B9" s="157">
        <v>74</v>
      </c>
      <c r="C9" s="157">
        <v>83</v>
      </c>
      <c r="D9" s="157">
        <v>88</v>
      </c>
      <c r="E9" s="104">
        <v>90</v>
      </c>
      <c r="L9" s="310" t="s">
        <v>142</v>
      </c>
      <c r="M9" s="313" t="s">
        <v>214</v>
      </c>
      <c r="N9" s="314">
        <v>1.31</v>
      </c>
    </row>
    <row r="10" spans="1:20" ht="23.25">
      <c r="A10" s="158" t="s">
        <v>378</v>
      </c>
      <c r="B10" s="157">
        <v>68</v>
      </c>
      <c r="C10" s="157">
        <v>79</v>
      </c>
      <c r="D10" s="157">
        <v>86</v>
      </c>
      <c r="E10" s="104">
        <v>89</v>
      </c>
      <c r="L10" s="310" t="s">
        <v>143</v>
      </c>
      <c r="M10" s="313" t="s">
        <v>215</v>
      </c>
      <c r="N10" s="314">
        <v>1.75</v>
      </c>
    </row>
    <row r="11" spans="1:20" ht="23.25">
      <c r="A11" s="158" t="s">
        <v>259</v>
      </c>
      <c r="B11" s="157">
        <v>49</v>
      </c>
      <c r="C11" s="157">
        <v>69</v>
      </c>
      <c r="D11" s="157">
        <v>79</v>
      </c>
      <c r="E11" s="104">
        <v>84</v>
      </c>
      <c r="L11" s="310" t="s">
        <v>143</v>
      </c>
      <c r="M11" s="313" t="s">
        <v>216</v>
      </c>
      <c r="N11" s="314">
        <v>0.8</v>
      </c>
    </row>
    <row r="12" spans="1:20" ht="23.25">
      <c r="A12" s="158" t="s">
        <v>249</v>
      </c>
      <c r="B12" s="157">
        <v>39</v>
      </c>
      <c r="C12" s="157">
        <v>61</v>
      </c>
      <c r="D12" s="157">
        <v>74</v>
      </c>
      <c r="E12" s="104">
        <v>80</v>
      </c>
      <c r="L12" s="310" t="s">
        <v>143</v>
      </c>
      <c r="M12" s="313" t="s">
        <v>217</v>
      </c>
      <c r="N12" s="314">
        <v>0.89</v>
      </c>
    </row>
    <row r="13" spans="1:20" ht="23.25">
      <c r="A13" s="158" t="s">
        <v>485</v>
      </c>
      <c r="B13" s="157">
        <v>30</v>
      </c>
      <c r="C13" s="157">
        <v>58</v>
      </c>
      <c r="D13" s="157">
        <v>71</v>
      </c>
      <c r="E13" s="104">
        <v>78</v>
      </c>
      <c r="L13" s="310" t="s">
        <v>143</v>
      </c>
      <c r="M13" s="313" t="s">
        <v>218</v>
      </c>
      <c r="N13" s="314">
        <v>1.82</v>
      </c>
    </row>
    <row r="14" spans="1:20" ht="23.25">
      <c r="A14" s="158" t="s">
        <v>382</v>
      </c>
      <c r="B14" s="157">
        <v>57</v>
      </c>
      <c r="C14" s="157">
        <v>73</v>
      </c>
      <c r="D14" s="157">
        <v>82</v>
      </c>
      <c r="E14" s="104">
        <v>86</v>
      </c>
      <c r="L14" s="310" t="s">
        <v>204</v>
      </c>
      <c r="M14" s="313" t="s">
        <v>219</v>
      </c>
      <c r="N14" s="314">
        <v>1.43</v>
      </c>
    </row>
    <row r="15" spans="1:20" ht="23.25">
      <c r="A15" s="158" t="s">
        <v>383</v>
      </c>
      <c r="B15" s="157">
        <v>35</v>
      </c>
      <c r="C15" s="157">
        <v>56</v>
      </c>
      <c r="D15" s="157">
        <v>70</v>
      </c>
      <c r="E15" s="104">
        <v>77</v>
      </c>
      <c r="L15" s="310" t="s">
        <v>204</v>
      </c>
      <c r="M15" s="313" t="s">
        <v>220</v>
      </c>
      <c r="N15" s="314">
        <v>0.77</v>
      </c>
    </row>
    <row r="16" spans="1:20" ht="23.25">
      <c r="A16" s="158" t="s">
        <v>384</v>
      </c>
      <c r="B16" s="157">
        <v>30</v>
      </c>
      <c r="C16" s="157">
        <v>48</v>
      </c>
      <c r="D16" s="157">
        <v>65</v>
      </c>
      <c r="E16" s="104">
        <v>73</v>
      </c>
      <c r="L16" s="310" t="s">
        <v>81</v>
      </c>
      <c r="M16" s="313" t="s">
        <v>221</v>
      </c>
      <c r="N16" s="314">
        <v>0.64</v>
      </c>
    </row>
    <row r="17" spans="1:14" ht="23.25">
      <c r="A17" s="158" t="s">
        <v>385</v>
      </c>
      <c r="B17" s="157">
        <v>57</v>
      </c>
      <c r="C17" s="157">
        <v>73</v>
      </c>
      <c r="D17" s="157">
        <v>82</v>
      </c>
      <c r="E17" s="104">
        <v>86</v>
      </c>
      <c r="L17" s="310" t="s">
        <v>82</v>
      </c>
      <c r="M17" s="313" t="s">
        <v>222</v>
      </c>
      <c r="N17" s="314">
        <v>0.69</v>
      </c>
    </row>
    <row r="18" spans="1:14" ht="23.25">
      <c r="A18" s="158" t="s">
        <v>386</v>
      </c>
      <c r="B18" s="157">
        <v>43</v>
      </c>
      <c r="C18" s="157">
        <v>65</v>
      </c>
      <c r="D18" s="157">
        <v>76</v>
      </c>
      <c r="E18" s="104">
        <v>82</v>
      </c>
      <c r="L18" s="310" t="s">
        <v>82</v>
      </c>
      <c r="M18" s="313" t="s">
        <v>223</v>
      </c>
      <c r="N18" s="314">
        <v>0.83</v>
      </c>
    </row>
    <row r="19" spans="1:14" ht="23.25">
      <c r="A19" s="158" t="s">
        <v>387</v>
      </c>
      <c r="B19" s="157">
        <v>32</v>
      </c>
      <c r="C19" s="157">
        <v>58</v>
      </c>
      <c r="D19" s="157">
        <v>72</v>
      </c>
      <c r="E19" s="104">
        <v>79</v>
      </c>
      <c r="L19" s="310" t="s">
        <v>82</v>
      </c>
      <c r="M19" s="313" t="s">
        <v>224</v>
      </c>
      <c r="N19" s="314">
        <v>0.67</v>
      </c>
    </row>
    <row r="20" spans="1:14" ht="23.25">
      <c r="A20" s="158" t="s">
        <v>388</v>
      </c>
      <c r="B20" s="157">
        <v>45</v>
      </c>
      <c r="C20" s="157">
        <v>66</v>
      </c>
      <c r="D20" s="157">
        <v>77</v>
      </c>
      <c r="E20" s="104">
        <v>83</v>
      </c>
      <c r="L20" s="310" t="s">
        <v>83</v>
      </c>
      <c r="M20" s="313" t="s">
        <v>225</v>
      </c>
      <c r="N20" s="314">
        <v>1.1299999999999999</v>
      </c>
    </row>
    <row r="21" spans="1:14" ht="23.25">
      <c r="A21" s="158" t="s">
        <v>389</v>
      </c>
      <c r="B21" s="157">
        <v>36</v>
      </c>
      <c r="C21" s="157">
        <v>60</v>
      </c>
      <c r="D21" s="157">
        <v>73</v>
      </c>
      <c r="E21" s="104">
        <v>79</v>
      </c>
      <c r="L21" s="310" t="s">
        <v>83</v>
      </c>
      <c r="M21" s="313" t="s">
        <v>226</v>
      </c>
      <c r="N21" s="314">
        <v>1.36</v>
      </c>
    </row>
    <row r="22" spans="1:14" ht="23.25">
      <c r="A22" s="158" t="s">
        <v>390</v>
      </c>
      <c r="B22" s="157">
        <v>30</v>
      </c>
      <c r="C22" s="157">
        <v>55</v>
      </c>
      <c r="D22" s="157">
        <v>70</v>
      </c>
      <c r="E22" s="104">
        <v>77</v>
      </c>
      <c r="L22" s="310" t="s">
        <v>123</v>
      </c>
      <c r="M22" s="313" t="s">
        <v>227</v>
      </c>
      <c r="N22" s="314">
        <v>1.6</v>
      </c>
    </row>
    <row r="23" spans="1:14">
      <c r="A23" s="88" t="s">
        <v>114</v>
      </c>
      <c r="B23" s="91"/>
      <c r="C23" s="91"/>
      <c r="D23" s="91"/>
      <c r="E23" s="92"/>
      <c r="L23" s="310" t="s">
        <v>123</v>
      </c>
      <c r="M23" s="313" t="s">
        <v>228</v>
      </c>
      <c r="N23" s="314">
        <v>1.59</v>
      </c>
    </row>
    <row r="24" spans="1:14" ht="21" thickBot="1">
      <c r="A24" s="93"/>
      <c r="B24" s="94"/>
      <c r="C24" s="94"/>
      <c r="D24" s="94"/>
      <c r="E24" s="95"/>
      <c r="L24" s="310" t="s">
        <v>123</v>
      </c>
      <c r="M24" s="313" t="s">
        <v>229</v>
      </c>
      <c r="N24" s="314">
        <v>1.1599999999999999</v>
      </c>
    </row>
    <row r="25" spans="1:14">
      <c r="L25" s="310" t="s">
        <v>123</v>
      </c>
      <c r="M25" s="313" t="s">
        <v>230</v>
      </c>
      <c r="N25" s="314">
        <v>1.1000000000000001</v>
      </c>
    </row>
    <row r="26" spans="1:14" ht="21" thickBot="1">
      <c r="L26" s="310" t="s">
        <v>123</v>
      </c>
      <c r="M26" s="313" t="s">
        <v>231</v>
      </c>
      <c r="N26" s="314">
        <v>1.3</v>
      </c>
    </row>
    <row r="27" spans="1:14" ht="23.25">
      <c r="A27" s="99" t="s">
        <v>131</v>
      </c>
      <c r="B27" s="100"/>
      <c r="C27" s="100"/>
      <c r="D27" s="101"/>
      <c r="L27" s="310" t="s">
        <v>275</v>
      </c>
      <c r="M27" s="313" t="s">
        <v>232</v>
      </c>
      <c r="N27" s="314">
        <v>1.1399999999999999</v>
      </c>
    </row>
    <row r="28" spans="1:14" ht="23.25">
      <c r="A28" s="102" t="s">
        <v>140</v>
      </c>
      <c r="B28" s="103">
        <v>0.1</v>
      </c>
      <c r="C28" s="103">
        <v>0.74</v>
      </c>
      <c r="D28" s="104"/>
      <c r="L28" s="310" t="s">
        <v>275</v>
      </c>
      <c r="M28" s="313" t="s">
        <v>233</v>
      </c>
      <c r="N28" s="314">
        <v>0.4</v>
      </c>
    </row>
    <row r="29" spans="1:14" ht="23.25">
      <c r="A29" s="102" t="s">
        <v>141</v>
      </c>
      <c r="B29" s="103">
        <v>0.1</v>
      </c>
      <c r="C29" s="103">
        <v>0.62</v>
      </c>
      <c r="D29" s="104"/>
      <c r="L29" s="310" t="s">
        <v>275</v>
      </c>
      <c r="M29" s="313" t="s">
        <v>234</v>
      </c>
      <c r="N29" s="314">
        <v>0.79</v>
      </c>
    </row>
    <row r="30" spans="1:14" ht="23.25">
      <c r="A30" s="102" t="s">
        <v>142</v>
      </c>
      <c r="B30" s="103">
        <v>0.12</v>
      </c>
      <c r="C30" s="103">
        <v>0.78</v>
      </c>
      <c r="D30" s="104"/>
      <c r="L30" s="310" t="s">
        <v>275</v>
      </c>
      <c r="M30" s="313" t="s">
        <v>235</v>
      </c>
      <c r="N30" s="314">
        <v>0.49</v>
      </c>
    </row>
    <row r="31" spans="1:14" ht="23.25">
      <c r="A31" s="102" t="s">
        <v>143</v>
      </c>
      <c r="B31" s="103">
        <v>0.15</v>
      </c>
      <c r="C31" s="103">
        <v>1.32</v>
      </c>
      <c r="D31" s="104"/>
      <c r="L31" s="310" t="s">
        <v>275</v>
      </c>
      <c r="M31" s="313" t="s">
        <v>236</v>
      </c>
      <c r="N31" s="314">
        <v>1.2983970642089844</v>
      </c>
    </row>
    <row r="32" spans="1:14" ht="23.25">
      <c r="A32" s="102" t="s">
        <v>204</v>
      </c>
      <c r="B32" s="103">
        <v>0.12</v>
      </c>
      <c r="C32" s="103">
        <v>1.1000000000000001</v>
      </c>
      <c r="D32" s="104"/>
      <c r="L32" s="310" t="s">
        <v>276</v>
      </c>
      <c r="M32" s="313" t="s">
        <v>237</v>
      </c>
      <c r="N32" s="314">
        <v>0.75</v>
      </c>
    </row>
    <row r="33" spans="1:14" ht="23.25">
      <c r="A33" s="102" t="s">
        <v>81</v>
      </c>
      <c r="B33" s="103">
        <v>0.09</v>
      </c>
      <c r="C33" s="103">
        <v>0.64</v>
      </c>
      <c r="D33" s="104"/>
      <c r="L33" s="310" t="s">
        <v>144</v>
      </c>
      <c r="M33" s="313" t="s">
        <v>238</v>
      </c>
      <c r="N33" s="314">
        <v>0.65</v>
      </c>
    </row>
    <row r="34" spans="1:14" ht="23.25">
      <c r="A34" s="102" t="s">
        <v>82</v>
      </c>
      <c r="B34" s="103">
        <v>0.1</v>
      </c>
      <c r="C34" s="103">
        <v>0.73</v>
      </c>
      <c r="D34" s="104"/>
      <c r="L34" s="310" t="s">
        <v>144</v>
      </c>
      <c r="M34" s="313" t="s">
        <v>239</v>
      </c>
      <c r="N34" s="314">
        <v>1.1599999999999999</v>
      </c>
    </row>
    <row r="35" spans="1:14" ht="23.25">
      <c r="A35" s="102" t="s">
        <v>83</v>
      </c>
      <c r="B35" s="103">
        <v>0.16</v>
      </c>
      <c r="C35" s="103">
        <v>1.24</v>
      </c>
      <c r="D35" s="104"/>
      <c r="L35" s="310" t="s">
        <v>144</v>
      </c>
      <c r="M35" s="313" t="s">
        <v>240</v>
      </c>
      <c r="N35" s="314">
        <v>1.29</v>
      </c>
    </row>
    <row r="36" spans="1:14" ht="23.25">
      <c r="A36" s="102" t="s">
        <v>123</v>
      </c>
      <c r="B36" s="103">
        <v>0.14000000000000001</v>
      </c>
      <c r="C36" s="103">
        <v>1.24</v>
      </c>
      <c r="D36" s="104"/>
      <c r="L36" s="310" t="s">
        <v>144</v>
      </c>
      <c r="M36" s="313" t="s">
        <v>241</v>
      </c>
      <c r="N36" s="314">
        <v>1.23</v>
      </c>
    </row>
    <row r="37" spans="1:14" ht="23.25">
      <c r="A37" s="102" t="s">
        <v>275</v>
      </c>
      <c r="B37" s="103">
        <v>0.13</v>
      </c>
      <c r="C37" s="103">
        <v>0.82</v>
      </c>
      <c r="D37" s="104"/>
      <c r="L37" s="310" t="s">
        <v>280</v>
      </c>
      <c r="M37" s="313" t="s">
        <v>242</v>
      </c>
      <c r="N37" s="314">
        <v>0.41</v>
      </c>
    </row>
    <row r="38" spans="1:14" ht="23.25">
      <c r="A38" s="102" t="s">
        <v>276</v>
      </c>
      <c r="B38" s="103">
        <v>0.1</v>
      </c>
      <c r="C38" s="103">
        <v>0.75</v>
      </c>
      <c r="D38" s="104"/>
      <c r="L38" s="310" t="s">
        <v>154</v>
      </c>
      <c r="M38" s="313" t="s">
        <v>243</v>
      </c>
      <c r="N38" s="314">
        <v>0.34041690826416016</v>
      </c>
    </row>
    <row r="39" spans="1:14" ht="23.25">
      <c r="A39" s="102" t="s">
        <v>144</v>
      </c>
      <c r="B39" s="103">
        <v>0.12</v>
      </c>
      <c r="C39" s="103">
        <v>1.08</v>
      </c>
      <c r="D39" s="104"/>
      <c r="L39" s="310" t="s">
        <v>154</v>
      </c>
      <c r="M39" s="313" t="s">
        <v>244</v>
      </c>
      <c r="N39" s="314">
        <v>0.5</v>
      </c>
    </row>
    <row r="40" spans="1:14" ht="23.25">
      <c r="A40" s="102" t="s">
        <v>280</v>
      </c>
      <c r="B40" s="103">
        <v>0.1</v>
      </c>
      <c r="C40" s="103">
        <v>0.41</v>
      </c>
      <c r="D40" s="104"/>
      <c r="L40" s="310" t="s">
        <v>97</v>
      </c>
      <c r="M40" s="313" t="s">
        <v>245</v>
      </c>
      <c r="N40" s="314">
        <v>0.33</v>
      </c>
    </row>
    <row r="41" spans="1:14" ht="23.25">
      <c r="A41" s="102" t="s">
        <v>154</v>
      </c>
      <c r="B41" s="103">
        <v>0.09</v>
      </c>
      <c r="C41" s="103">
        <v>0.42</v>
      </c>
      <c r="D41" s="104"/>
      <c r="L41" s="310" t="s">
        <v>97</v>
      </c>
      <c r="M41" s="313" t="s">
        <v>246</v>
      </c>
      <c r="N41" s="314">
        <v>0.44</v>
      </c>
    </row>
    <row r="42" spans="1:14" ht="23.25">
      <c r="A42" s="102" t="s">
        <v>97</v>
      </c>
      <c r="B42" s="103">
        <v>0.09</v>
      </c>
      <c r="C42" s="103">
        <v>0.48</v>
      </c>
      <c r="D42" s="104"/>
      <c r="L42" s="310" t="s">
        <v>97</v>
      </c>
      <c r="M42" s="313" t="s">
        <v>247</v>
      </c>
      <c r="N42" s="314">
        <v>0.87</v>
      </c>
    </row>
    <row r="43" spans="1:14" ht="23.25">
      <c r="A43" s="102" t="s">
        <v>98</v>
      </c>
      <c r="B43" s="103">
        <v>0.1</v>
      </c>
      <c r="C43" s="103">
        <v>0.4</v>
      </c>
      <c r="D43" s="104"/>
      <c r="L43" s="310" t="s">
        <v>97</v>
      </c>
      <c r="M43" s="313" t="s">
        <v>248</v>
      </c>
      <c r="N43" s="314">
        <v>0.36</v>
      </c>
    </row>
    <row r="44" spans="1:14" ht="23.25">
      <c r="A44" s="102" t="s">
        <v>22</v>
      </c>
      <c r="B44" s="103">
        <v>0.12</v>
      </c>
      <c r="C44" s="103">
        <v>1.1399999999999999</v>
      </c>
      <c r="D44" s="104"/>
      <c r="L44" s="310" t="s">
        <v>97</v>
      </c>
      <c r="M44" s="313" t="s">
        <v>160</v>
      </c>
      <c r="N44" s="314">
        <v>0.5</v>
      </c>
    </row>
    <row r="45" spans="1:14" ht="23.25">
      <c r="A45" s="102" t="s">
        <v>23</v>
      </c>
      <c r="B45" s="103">
        <v>0.09</v>
      </c>
      <c r="C45" s="103">
        <v>0.43</v>
      </c>
      <c r="D45" s="104"/>
      <c r="L45" s="310" t="s">
        <v>97</v>
      </c>
      <c r="M45" s="313" t="s">
        <v>161</v>
      </c>
      <c r="N45" s="314">
        <v>0.34</v>
      </c>
    </row>
    <row r="46" spans="1:14" ht="23.25">
      <c r="A46" s="102" t="s">
        <v>153</v>
      </c>
      <c r="B46" s="103">
        <v>0.15</v>
      </c>
      <c r="C46" s="103">
        <v>1.01</v>
      </c>
      <c r="D46" s="104"/>
      <c r="L46" s="310" t="s">
        <v>97</v>
      </c>
      <c r="M46" s="313" t="s">
        <v>162</v>
      </c>
      <c r="N46" s="314">
        <v>0.42</v>
      </c>
    </row>
    <row r="47" spans="1:14" ht="23.25">
      <c r="A47" s="102" t="s">
        <v>174</v>
      </c>
      <c r="B47" s="103">
        <v>0.1</v>
      </c>
      <c r="C47" s="103">
        <v>0.74</v>
      </c>
      <c r="D47" s="104"/>
      <c r="L47" s="310" t="s">
        <v>97</v>
      </c>
      <c r="M47" s="313" t="s">
        <v>163</v>
      </c>
      <c r="N47" s="314">
        <v>0.56000000000000005</v>
      </c>
    </row>
    <row r="48" spans="1:14" ht="23.25">
      <c r="A48" s="102" t="s">
        <v>175</v>
      </c>
      <c r="B48" s="103">
        <v>0.17</v>
      </c>
      <c r="C48" s="103">
        <v>1.29</v>
      </c>
      <c r="D48" s="104"/>
      <c r="L48" s="310" t="s">
        <v>98</v>
      </c>
      <c r="M48" s="313" t="s">
        <v>164</v>
      </c>
      <c r="N48" s="314">
        <v>0.4</v>
      </c>
    </row>
    <row r="49" spans="1:14" ht="23.25">
      <c r="A49" s="102" t="s">
        <v>113</v>
      </c>
      <c r="B49" s="103">
        <v>0.14000000000000001</v>
      </c>
      <c r="C49" s="103">
        <v>1.06</v>
      </c>
      <c r="D49" s="104"/>
      <c r="L49" s="310" t="s">
        <v>22</v>
      </c>
      <c r="M49" s="313" t="s">
        <v>363</v>
      </c>
      <c r="N49" s="314">
        <v>0.89</v>
      </c>
    </row>
    <row r="50" spans="1:14" ht="23.25">
      <c r="A50" s="102" t="s">
        <v>72</v>
      </c>
      <c r="B50" s="103">
        <v>0.13</v>
      </c>
      <c r="C50" s="103">
        <v>1.0900000000000001</v>
      </c>
      <c r="D50" s="104"/>
      <c r="L50" s="310" t="s">
        <v>22</v>
      </c>
      <c r="M50" s="313" t="s">
        <v>364</v>
      </c>
      <c r="N50" s="314">
        <v>1.39</v>
      </c>
    </row>
    <row r="51" spans="1:14" ht="23.25">
      <c r="A51" s="102" t="s">
        <v>73</v>
      </c>
      <c r="B51" s="103">
        <v>0.09</v>
      </c>
      <c r="C51" s="103">
        <v>0.51</v>
      </c>
      <c r="D51" s="104"/>
      <c r="L51" s="310" t="s">
        <v>23</v>
      </c>
      <c r="M51" s="313" t="s">
        <v>365</v>
      </c>
      <c r="N51" s="314">
        <v>0.41</v>
      </c>
    </row>
    <row r="52" spans="1:14" ht="23.25">
      <c r="A52" s="102" t="s">
        <v>108</v>
      </c>
      <c r="B52" s="103">
        <v>0.09</v>
      </c>
      <c r="C52" s="103">
        <v>0.43</v>
      </c>
      <c r="D52" s="104"/>
      <c r="L52" s="310" t="s">
        <v>23</v>
      </c>
      <c r="M52" s="313" t="s">
        <v>366</v>
      </c>
      <c r="N52" s="314">
        <v>0.53</v>
      </c>
    </row>
    <row r="53" spans="1:14" ht="23.25">
      <c r="A53" s="102" t="s">
        <v>109</v>
      </c>
      <c r="B53" s="103">
        <v>0.09</v>
      </c>
      <c r="C53" s="103">
        <v>0.46</v>
      </c>
      <c r="D53" s="104"/>
      <c r="L53" s="310" t="s">
        <v>23</v>
      </c>
      <c r="M53" s="313" t="s">
        <v>367</v>
      </c>
      <c r="N53" s="314">
        <v>0.49</v>
      </c>
    </row>
    <row r="54" spans="1:14" ht="23.25">
      <c r="A54" s="102" t="s">
        <v>61</v>
      </c>
      <c r="B54" s="103">
        <v>0.13</v>
      </c>
      <c r="C54" s="103">
        <v>0.91</v>
      </c>
      <c r="D54" s="104"/>
      <c r="L54" s="310" t="s">
        <v>23</v>
      </c>
      <c r="M54" s="313" t="s">
        <v>368</v>
      </c>
      <c r="N54" s="314">
        <v>0.28999999999999998</v>
      </c>
    </row>
    <row r="55" spans="1:14" ht="23.25">
      <c r="A55" s="102" t="s">
        <v>111</v>
      </c>
      <c r="B55" s="103">
        <v>0.2</v>
      </c>
      <c r="C55" s="103">
        <v>1.3</v>
      </c>
      <c r="D55" s="104"/>
      <c r="L55" s="310" t="s">
        <v>153</v>
      </c>
      <c r="M55" s="313" t="s">
        <v>369</v>
      </c>
      <c r="N55" s="314">
        <v>0.60124969482421875</v>
      </c>
    </row>
    <row r="56" spans="1:14" ht="23.25">
      <c r="A56" s="102" t="s">
        <v>112</v>
      </c>
      <c r="B56" s="103">
        <v>0.12</v>
      </c>
      <c r="C56" s="103">
        <v>0.97</v>
      </c>
      <c r="D56" s="104"/>
      <c r="L56" s="310" t="s">
        <v>153</v>
      </c>
      <c r="M56" s="313" t="s">
        <v>370</v>
      </c>
      <c r="N56" s="314">
        <v>1.19</v>
      </c>
    </row>
    <row r="57" spans="1:14" ht="23.25">
      <c r="A57" s="102" t="s">
        <v>39</v>
      </c>
      <c r="B57" s="103">
        <v>0.15</v>
      </c>
      <c r="C57" s="103">
        <v>0.87</v>
      </c>
      <c r="D57" s="104"/>
      <c r="L57" s="310" t="s">
        <v>153</v>
      </c>
      <c r="M57" s="313" t="s">
        <v>371</v>
      </c>
      <c r="N57" s="314">
        <v>1.19</v>
      </c>
    </row>
    <row r="58" spans="1:14" ht="23.25">
      <c r="A58" s="102" t="s">
        <v>40</v>
      </c>
      <c r="B58" s="103">
        <v>0.15</v>
      </c>
      <c r="C58" s="103">
        <v>1.3</v>
      </c>
      <c r="D58" s="104"/>
      <c r="L58" s="310" t="s">
        <v>153</v>
      </c>
      <c r="M58" s="313" t="s">
        <v>372</v>
      </c>
      <c r="N58" s="314">
        <v>1.24</v>
      </c>
    </row>
    <row r="59" spans="1:14" ht="23.25">
      <c r="A59" s="102" t="s">
        <v>156</v>
      </c>
      <c r="B59" s="103">
        <v>0.12</v>
      </c>
      <c r="C59" s="103">
        <v>0.93</v>
      </c>
      <c r="D59" s="104"/>
      <c r="L59" s="310" t="s">
        <v>153</v>
      </c>
      <c r="M59" s="313" t="s">
        <v>373</v>
      </c>
      <c r="N59" s="314">
        <v>1.02</v>
      </c>
    </row>
    <row r="60" spans="1:14" ht="23.25">
      <c r="A60" s="102" t="s">
        <v>157</v>
      </c>
      <c r="B60" s="103">
        <v>0.14000000000000001</v>
      </c>
      <c r="C60" s="103">
        <v>0.74</v>
      </c>
      <c r="D60" s="104"/>
      <c r="L60" s="310" t="s">
        <v>153</v>
      </c>
      <c r="M60" s="313" t="s">
        <v>374</v>
      </c>
      <c r="N60" s="314">
        <v>0.91</v>
      </c>
    </row>
    <row r="61" spans="1:14" ht="23.25">
      <c r="A61" s="102" t="s">
        <v>158</v>
      </c>
      <c r="B61" s="103">
        <v>0.09</v>
      </c>
      <c r="C61" s="103">
        <v>0.63</v>
      </c>
      <c r="D61" s="104"/>
      <c r="L61" s="310" t="s">
        <v>153</v>
      </c>
      <c r="M61" s="313" t="s">
        <v>375</v>
      </c>
      <c r="N61" s="314">
        <v>0.97</v>
      </c>
    </row>
    <row r="62" spans="1:14" ht="23.25">
      <c r="A62" s="102" t="s">
        <v>159</v>
      </c>
      <c r="B62" s="103">
        <v>0.12</v>
      </c>
      <c r="C62" s="103">
        <v>0.75</v>
      </c>
      <c r="D62" s="104"/>
      <c r="L62" s="310" t="s">
        <v>153</v>
      </c>
      <c r="M62" s="313" t="s">
        <v>165</v>
      </c>
      <c r="N62" s="314">
        <v>0.98</v>
      </c>
    </row>
    <row r="63" spans="1:14" ht="23.25">
      <c r="A63" s="102" t="s">
        <v>68</v>
      </c>
      <c r="B63" s="103">
        <v>0.16</v>
      </c>
      <c r="C63" s="103">
        <v>0.96</v>
      </c>
      <c r="D63" s="104"/>
      <c r="L63" s="310" t="s">
        <v>153</v>
      </c>
      <c r="M63" s="313" t="s">
        <v>252</v>
      </c>
      <c r="N63" s="314">
        <v>0.94</v>
      </c>
    </row>
    <row r="64" spans="1:14" ht="23.25">
      <c r="A64" s="102" t="s">
        <v>69</v>
      </c>
      <c r="B64" s="103">
        <v>0.14000000000000001</v>
      </c>
      <c r="C64" s="103">
        <v>0.82</v>
      </c>
      <c r="D64" s="104"/>
      <c r="L64" s="310" t="s">
        <v>153</v>
      </c>
      <c r="M64" s="313" t="s">
        <v>253</v>
      </c>
      <c r="N64" s="314">
        <v>1.3</v>
      </c>
    </row>
    <row r="65" spans="1:14" ht="23.25">
      <c r="A65" s="102" t="s">
        <v>184</v>
      </c>
      <c r="B65" s="103">
        <v>9.4885110855102539E-2</v>
      </c>
      <c r="C65" s="103">
        <v>0.64</v>
      </c>
      <c r="D65" s="104"/>
      <c r="L65" s="310" t="s">
        <v>153</v>
      </c>
      <c r="M65" s="313" t="s">
        <v>254</v>
      </c>
      <c r="N65" s="314">
        <v>0.87</v>
      </c>
    </row>
    <row r="66" spans="1:14" ht="23.25">
      <c r="A66" s="102" t="s">
        <v>185</v>
      </c>
      <c r="B66" s="103">
        <v>0.08</v>
      </c>
      <c r="C66" s="103">
        <v>0.49</v>
      </c>
      <c r="D66" s="104"/>
      <c r="L66" s="310" t="s">
        <v>153</v>
      </c>
      <c r="M66" s="313" t="s">
        <v>255</v>
      </c>
      <c r="N66" s="314">
        <v>0.73</v>
      </c>
    </row>
    <row r="67" spans="1:14" ht="23.25">
      <c r="A67" s="102" t="s">
        <v>126</v>
      </c>
      <c r="B67" s="103">
        <v>0.13</v>
      </c>
      <c r="C67" s="103">
        <v>0.86</v>
      </c>
      <c r="D67" s="104"/>
      <c r="L67" s="310" t="s">
        <v>153</v>
      </c>
      <c r="M67" s="313" t="s">
        <v>256</v>
      </c>
      <c r="N67" s="314">
        <v>1.32</v>
      </c>
    </row>
    <row r="68" spans="1:14" ht="23.25">
      <c r="A68" s="102" t="s">
        <v>36</v>
      </c>
      <c r="B68" s="103">
        <v>0.09</v>
      </c>
      <c r="C68" s="103">
        <v>0.66</v>
      </c>
      <c r="D68" s="104"/>
      <c r="L68" s="310" t="s">
        <v>153</v>
      </c>
      <c r="M68" s="313" t="s">
        <v>257</v>
      </c>
      <c r="N68" s="314">
        <v>0.59</v>
      </c>
    </row>
    <row r="69" spans="1:14" ht="23.25">
      <c r="A69" s="102" t="s">
        <v>37</v>
      </c>
      <c r="B69" s="103">
        <v>0.18</v>
      </c>
      <c r="C69" s="103">
        <v>1.04</v>
      </c>
      <c r="D69" s="104"/>
      <c r="L69" s="310" t="s">
        <v>153</v>
      </c>
      <c r="M69" s="313" t="s">
        <v>258</v>
      </c>
      <c r="N69" s="314">
        <v>1.19</v>
      </c>
    </row>
    <row r="70" spans="1:14" ht="23.25">
      <c r="A70" s="102" t="s">
        <v>70</v>
      </c>
      <c r="B70" s="103">
        <v>0.12</v>
      </c>
      <c r="C70" s="103">
        <v>0.72</v>
      </c>
      <c r="D70" s="104"/>
      <c r="L70" s="310" t="s">
        <v>153</v>
      </c>
      <c r="M70" s="313" t="s">
        <v>166</v>
      </c>
      <c r="N70" s="314">
        <v>1.19</v>
      </c>
    </row>
    <row r="71" spans="1:14" ht="23.25">
      <c r="A71" s="102" t="s">
        <v>124</v>
      </c>
      <c r="B71" s="103">
        <v>0.19</v>
      </c>
      <c r="C71" s="103">
        <v>1.21</v>
      </c>
      <c r="D71" s="104"/>
      <c r="L71" s="310" t="s">
        <v>153</v>
      </c>
      <c r="M71" s="313" t="s">
        <v>167</v>
      </c>
      <c r="N71" s="314">
        <v>1.53</v>
      </c>
    </row>
    <row r="72" spans="1:14" ht="23.25">
      <c r="A72" s="102" t="s">
        <v>339</v>
      </c>
      <c r="B72" s="103">
        <v>0.13</v>
      </c>
      <c r="C72" s="103">
        <v>1.1100000000000001</v>
      </c>
      <c r="D72" s="104"/>
      <c r="L72" s="310" t="s">
        <v>153</v>
      </c>
      <c r="M72" s="313" t="s">
        <v>168</v>
      </c>
      <c r="N72" s="314">
        <v>0.57999999999999996</v>
      </c>
    </row>
    <row r="73" spans="1:14" ht="23.25">
      <c r="A73" s="102" t="s">
        <v>171</v>
      </c>
      <c r="B73" s="103">
        <v>0.15</v>
      </c>
      <c r="C73" s="103">
        <v>1.1399999999999999</v>
      </c>
      <c r="D73" s="104"/>
      <c r="L73" s="310" t="s">
        <v>153</v>
      </c>
      <c r="M73" s="313" t="s">
        <v>169</v>
      </c>
      <c r="N73" s="314">
        <v>1.05</v>
      </c>
    </row>
    <row r="74" spans="1:14" ht="23.25">
      <c r="A74" s="102" t="s">
        <v>172</v>
      </c>
      <c r="B74" s="103">
        <v>0.1</v>
      </c>
      <c r="C74" s="103">
        <v>0.64</v>
      </c>
      <c r="D74" s="104"/>
      <c r="L74" s="310" t="s">
        <v>153</v>
      </c>
      <c r="M74" s="313" t="s">
        <v>250</v>
      </c>
      <c r="N74" s="314">
        <v>1.08</v>
      </c>
    </row>
    <row r="75" spans="1:14" ht="23.25">
      <c r="A75" s="102" t="s">
        <v>173</v>
      </c>
      <c r="B75" s="103">
        <v>0.12</v>
      </c>
      <c r="C75" s="103">
        <v>0.93</v>
      </c>
      <c r="D75" s="104"/>
      <c r="L75" s="310" t="s">
        <v>153</v>
      </c>
      <c r="M75" s="313" t="s">
        <v>251</v>
      </c>
      <c r="N75" s="314">
        <v>0.8</v>
      </c>
    </row>
    <row r="76" spans="1:14" ht="23.25">
      <c r="A76" s="102" t="s">
        <v>57</v>
      </c>
      <c r="B76" s="103">
        <v>0.18</v>
      </c>
      <c r="C76" s="103">
        <v>1.29</v>
      </c>
      <c r="D76" s="104"/>
      <c r="L76" s="310" t="s">
        <v>153</v>
      </c>
      <c r="M76" s="313" t="s">
        <v>380</v>
      </c>
      <c r="N76" s="314">
        <v>1</v>
      </c>
    </row>
    <row r="77" spans="1:14" ht="23.25">
      <c r="A77" s="102" t="s">
        <v>58</v>
      </c>
      <c r="B77" s="103">
        <v>0.1</v>
      </c>
      <c r="C77" s="103">
        <v>0.5</v>
      </c>
      <c r="D77" s="104"/>
      <c r="L77" s="310" t="s">
        <v>174</v>
      </c>
      <c r="M77" s="313" t="s">
        <v>381</v>
      </c>
      <c r="N77" s="314">
        <v>0.74</v>
      </c>
    </row>
    <row r="78" spans="1:14" ht="23.25">
      <c r="A78" s="102" t="s">
        <v>71</v>
      </c>
      <c r="B78" s="103">
        <v>0.09</v>
      </c>
      <c r="C78" s="103">
        <v>0.65</v>
      </c>
      <c r="D78" s="104"/>
      <c r="L78" s="310" t="s">
        <v>175</v>
      </c>
      <c r="M78" s="313" t="s">
        <v>260</v>
      </c>
      <c r="N78" s="314">
        <v>1.19</v>
      </c>
    </row>
    <row r="79" spans="1:14" ht="23.25">
      <c r="A79" s="102" t="s">
        <v>59</v>
      </c>
      <c r="B79" s="103">
        <v>0.13</v>
      </c>
      <c r="C79" s="103">
        <v>0.9</v>
      </c>
      <c r="D79" s="104"/>
      <c r="L79" s="310" t="s">
        <v>175</v>
      </c>
      <c r="M79" s="313" t="s">
        <v>261</v>
      </c>
      <c r="N79" s="314">
        <v>0.99</v>
      </c>
    </row>
    <row r="80" spans="1:14" ht="23.25">
      <c r="A80" s="102" t="s">
        <v>60</v>
      </c>
      <c r="B80" s="103">
        <v>0.13</v>
      </c>
      <c r="C80" s="103">
        <v>1.1100000000000001</v>
      </c>
      <c r="D80" s="104"/>
      <c r="L80" s="310" t="s">
        <v>113</v>
      </c>
      <c r="M80" s="313" t="s">
        <v>262</v>
      </c>
      <c r="N80" s="314">
        <v>0.8</v>
      </c>
    </row>
    <row r="81" spans="1:14" ht="23.25">
      <c r="A81" s="102" t="s">
        <v>135</v>
      </c>
      <c r="B81" s="103">
        <v>0.16</v>
      </c>
      <c r="C81" s="103">
        <v>1.01</v>
      </c>
      <c r="D81" s="104"/>
      <c r="L81" s="310" t="s">
        <v>113</v>
      </c>
      <c r="M81" s="313" t="s">
        <v>263</v>
      </c>
      <c r="N81" s="314">
        <v>1.3</v>
      </c>
    </row>
    <row r="82" spans="1:14" ht="23.25">
      <c r="A82" s="102" t="s">
        <v>136</v>
      </c>
      <c r="B82" s="103">
        <v>0.12</v>
      </c>
      <c r="C82" s="103">
        <v>1.1599999999999999</v>
      </c>
      <c r="D82" s="104"/>
      <c r="L82" s="310" t="s">
        <v>113</v>
      </c>
      <c r="M82" s="313" t="s">
        <v>264</v>
      </c>
      <c r="N82" s="314">
        <v>1.1000000000000001</v>
      </c>
    </row>
    <row r="83" spans="1:14" ht="23.25">
      <c r="A83" s="102" t="s">
        <v>137</v>
      </c>
      <c r="B83" s="103">
        <v>0.23</v>
      </c>
      <c r="C83" s="103">
        <v>1.27</v>
      </c>
      <c r="D83" s="104"/>
      <c r="L83" s="310" t="s">
        <v>72</v>
      </c>
      <c r="M83" s="313" t="s">
        <v>265</v>
      </c>
      <c r="N83" s="314">
        <v>0.97</v>
      </c>
    </row>
    <row r="84" spans="1:14" ht="23.25">
      <c r="A84" s="102" t="s">
        <v>138</v>
      </c>
      <c r="B84" s="103">
        <v>0.09</v>
      </c>
      <c r="C84" s="103">
        <v>0.65</v>
      </c>
      <c r="D84" s="104"/>
      <c r="L84" s="310" t="s">
        <v>72</v>
      </c>
      <c r="M84" s="313" t="s">
        <v>266</v>
      </c>
      <c r="N84" s="314">
        <v>0.88</v>
      </c>
    </row>
    <row r="85" spans="1:14" ht="23.25">
      <c r="A85" s="102" t="s">
        <v>139</v>
      </c>
      <c r="B85" s="103">
        <v>0.14000000000000001</v>
      </c>
      <c r="C85" s="103">
        <v>1.1000000000000001</v>
      </c>
      <c r="D85" s="104"/>
      <c r="L85" s="310" t="s">
        <v>72</v>
      </c>
      <c r="M85" s="313" t="s">
        <v>267</v>
      </c>
      <c r="N85" s="314">
        <v>1.35</v>
      </c>
    </row>
    <row r="86" spans="1:14" ht="21" thickBot="1">
      <c r="A86" s="96"/>
      <c r="B86" s="97"/>
      <c r="C86" s="97"/>
      <c r="D86" s="98"/>
      <c r="L86" s="310" t="s">
        <v>72</v>
      </c>
      <c r="M86" s="313" t="s">
        <v>268</v>
      </c>
      <c r="N86" s="314">
        <v>1.02</v>
      </c>
    </row>
    <row r="87" spans="1:14" ht="21" thickBot="1">
      <c r="L87" s="310" t="s">
        <v>72</v>
      </c>
      <c r="M87" s="313" t="s">
        <v>269</v>
      </c>
      <c r="N87" s="314">
        <v>0.94</v>
      </c>
    </row>
    <row r="88" spans="1:14" ht="23.25">
      <c r="A88" s="150" t="s">
        <v>486</v>
      </c>
      <c r="B88" s="151" t="s">
        <v>206</v>
      </c>
      <c r="C88" s="151"/>
      <c r="D88" s="151"/>
      <c r="E88" s="151"/>
      <c r="F88" s="146"/>
      <c r="L88" s="310" t="s">
        <v>72</v>
      </c>
      <c r="M88" s="313" t="s">
        <v>270</v>
      </c>
      <c r="N88" s="314">
        <v>0.86</v>
      </c>
    </row>
    <row r="89" spans="1:14" ht="23.25">
      <c r="A89" s="152" t="s">
        <v>437</v>
      </c>
      <c r="B89" s="153" t="s">
        <v>207</v>
      </c>
      <c r="C89" s="153" t="s">
        <v>208</v>
      </c>
      <c r="D89" s="153" t="s">
        <v>277</v>
      </c>
      <c r="E89" s="153" t="s">
        <v>278</v>
      </c>
      <c r="F89" s="147"/>
      <c r="L89" s="310" t="s">
        <v>72</v>
      </c>
      <c r="M89" s="313" t="s">
        <v>271</v>
      </c>
      <c r="N89" s="314">
        <v>1.19</v>
      </c>
    </row>
    <row r="90" spans="1:14" ht="23.25">
      <c r="A90" s="154" t="s">
        <v>487</v>
      </c>
      <c r="B90" s="153">
        <v>43</v>
      </c>
      <c r="C90" s="153">
        <v>65</v>
      </c>
      <c r="D90" s="153">
        <v>76</v>
      </c>
      <c r="E90" s="153">
        <v>82</v>
      </c>
      <c r="F90" s="147"/>
      <c r="L90" s="310" t="s">
        <v>72</v>
      </c>
      <c r="M90" s="313" t="s">
        <v>272</v>
      </c>
      <c r="N90" s="314">
        <v>1.24</v>
      </c>
    </row>
    <row r="91" spans="1:14" ht="23.25">
      <c r="A91" s="154" t="s">
        <v>488</v>
      </c>
      <c r="B91" s="153">
        <v>57</v>
      </c>
      <c r="C91" s="153">
        <v>73</v>
      </c>
      <c r="D91" s="153">
        <v>82</v>
      </c>
      <c r="E91" s="153">
        <v>86</v>
      </c>
      <c r="F91" s="147"/>
      <c r="L91" s="310" t="s">
        <v>72</v>
      </c>
      <c r="M91" s="313" t="s">
        <v>273</v>
      </c>
      <c r="N91" s="314">
        <v>1.39</v>
      </c>
    </row>
    <row r="92" spans="1:14" ht="23.25">
      <c r="A92" s="154" t="s">
        <v>489</v>
      </c>
      <c r="B92" s="153">
        <v>32</v>
      </c>
      <c r="C92" s="153">
        <v>58</v>
      </c>
      <c r="D92" s="153">
        <v>72</v>
      </c>
      <c r="E92" s="153">
        <v>79</v>
      </c>
      <c r="F92" s="147"/>
      <c r="L92" s="310" t="s">
        <v>73</v>
      </c>
      <c r="M92" s="313" t="s">
        <v>274</v>
      </c>
      <c r="N92" s="314">
        <v>0.56999999999999995</v>
      </c>
    </row>
    <row r="93" spans="1:14" ht="23.25">
      <c r="A93" s="154" t="s">
        <v>490</v>
      </c>
      <c r="B93" s="153">
        <v>35</v>
      </c>
      <c r="C93" s="153">
        <v>56</v>
      </c>
      <c r="D93" s="153">
        <v>70</v>
      </c>
      <c r="E93" s="153">
        <v>77</v>
      </c>
      <c r="F93" s="147"/>
      <c r="L93" s="310" t="s">
        <v>73</v>
      </c>
      <c r="M93" s="313" t="s">
        <v>392</v>
      </c>
      <c r="N93" s="314">
        <v>0.45</v>
      </c>
    </row>
    <row r="94" spans="1:14" ht="23.25">
      <c r="A94" s="154" t="s">
        <v>379</v>
      </c>
      <c r="B94" s="153">
        <v>57</v>
      </c>
      <c r="C94" s="153">
        <v>73</v>
      </c>
      <c r="D94" s="153">
        <v>82</v>
      </c>
      <c r="E94" s="153">
        <v>86</v>
      </c>
      <c r="F94" s="147"/>
      <c r="L94" s="310" t="s">
        <v>108</v>
      </c>
      <c r="M94" s="313" t="s">
        <v>393</v>
      </c>
      <c r="N94" s="314">
        <v>0.3</v>
      </c>
    </row>
    <row r="95" spans="1:14" ht="23.25">
      <c r="A95" s="154" t="s">
        <v>414</v>
      </c>
      <c r="B95" s="153">
        <v>30</v>
      </c>
      <c r="C95" s="153">
        <v>48</v>
      </c>
      <c r="D95" s="153">
        <v>65</v>
      </c>
      <c r="E95" s="153">
        <v>73</v>
      </c>
      <c r="F95" s="147"/>
      <c r="L95" s="310" t="s">
        <v>108</v>
      </c>
      <c r="M95" s="313" t="s">
        <v>394</v>
      </c>
      <c r="N95" s="314">
        <v>0.56999999999999995</v>
      </c>
    </row>
    <row r="96" spans="1:14" ht="23.25">
      <c r="A96" s="154" t="s">
        <v>415</v>
      </c>
      <c r="B96" s="153">
        <v>76</v>
      </c>
      <c r="C96" s="153">
        <v>85</v>
      </c>
      <c r="D96" s="153">
        <v>90</v>
      </c>
      <c r="E96" s="153">
        <v>92</v>
      </c>
      <c r="F96" s="147"/>
      <c r="L96" s="310" t="s">
        <v>109</v>
      </c>
      <c r="M96" s="313" t="s">
        <v>395</v>
      </c>
      <c r="N96" s="314">
        <v>0.47</v>
      </c>
    </row>
    <row r="97" spans="1:14" ht="23.25">
      <c r="A97" s="154" t="s">
        <v>416</v>
      </c>
      <c r="B97" s="153">
        <v>49</v>
      </c>
      <c r="C97" s="153">
        <v>69</v>
      </c>
      <c r="D97" s="153">
        <v>79</v>
      </c>
      <c r="E97" s="153">
        <v>84</v>
      </c>
      <c r="F97" s="147"/>
      <c r="L97" s="310" t="s">
        <v>109</v>
      </c>
      <c r="M97" s="313" t="s">
        <v>396</v>
      </c>
      <c r="N97" s="314">
        <v>0.44</v>
      </c>
    </row>
    <row r="98" spans="1:14" ht="23.25">
      <c r="A98" s="154" t="s">
        <v>417</v>
      </c>
      <c r="B98" s="153">
        <v>68</v>
      </c>
      <c r="C98" s="153">
        <v>79</v>
      </c>
      <c r="D98" s="153">
        <v>86</v>
      </c>
      <c r="E98" s="153">
        <v>89</v>
      </c>
      <c r="F98" s="147"/>
      <c r="L98" s="310" t="s">
        <v>61</v>
      </c>
      <c r="M98" s="313" t="s">
        <v>397</v>
      </c>
      <c r="N98" s="314">
        <v>1.1000000000000001</v>
      </c>
    </row>
    <row r="99" spans="1:14" ht="23.25">
      <c r="A99" s="154" t="s">
        <v>418</v>
      </c>
      <c r="B99" s="153">
        <v>39</v>
      </c>
      <c r="C99" s="153">
        <v>61</v>
      </c>
      <c r="D99" s="153">
        <v>74</v>
      </c>
      <c r="E99" s="153">
        <v>80</v>
      </c>
      <c r="F99" s="147"/>
      <c r="L99" s="310" t="s">
        <v>61</v>
      </c>
      <c r="M99" s="313" t="s">
        <v>398</v>
      </c>
      <c r="N99" s="314">
        <v>1.2</v>
      </c>
    </row>
    <row r="100" spans="1:14" ht="23.25">
      <c r="A100" s="154" t="s">
        <v>419</v>
      </c>
      <c r="B100" s="153">
        <v>36</v>
      </c>
      <c r="C100" s="153">
        <v>60</v>
      </c>
      <c r="D100" s="153">
        <v>73</v>
      </c>
      <c r="E100" s="153">
        <v>79</v>
      </c>
      <c r="F100" s="147"/>
      <c r="L100" s="310" t="s">
        <v>61</v>
      </c>
      <c r="M100" s="313" t="s">
        <v>399</v>
      </c>
      <c r="N100" s="314">
        <v>0.6</v>
      </c>
    </row>
    <row r="101" spans="1:14" ht="23.25">
      <c r="A101" s="154" t="s">
        <v>420</v>
      </c>
      <c r="B101" s="153">
        <v>30</v>
      </c>
      <c r="C101" s="153">
        <v>55</v>
      </c>
      <c r="D101" s="153">
        <v>70</v>
      </c>
      <c r="E101" s="153">
        <v>77</v>
      </c>
      <c r="F101" s="147"/>
      <c r="L101" s="310" t="s">
        <v>61</v>
      </c>
      <c r="M101" s="313" t="s">
        <v>400</v>
      </c>
      <c r="N101" s="314">
        <v>0.63</v>
      </c>
    </row>
    <row r="102" spans="1:14" ht="23.25">
      <c r="A102" s="154" t="s">
        <v>434</v>
      </c>
      <c r="B102" s="153">
        <v>63</v>
      </c>
      <c r="C102" s="153">
        <v>77</v>
      </c>
      <c r="D102" s="153">
        <v>85</v>
      </c>
      <c r="E102" s="153">
        <v>88</v>
      </c>
      <c r="F102" s="147"/>
      <c r="L102" s="310" t="s">
        <v>61</v>
      </c>
      <c r="M102" s="313" t="s">
        <v>401</v>
      </c>
      <c r="N102" s="314">
        <v>0.75</v>
      </c>
    </row>
    <row r="103" spans="1:14" ht="23.25">
      <c r="A103" s="154" t="s">
        <v>259</v>
      </c>
      <c r="B103" s="153">
        <v>49</v>
      </c>
      <c r="C103" s="153">
        <v>69</v>
      </c>
      <c r="D103" s="153">
        <v>79</v>
      </c>
      <c r="E103" s="153">
        <v>84</v>
      </c>
      <c r="F103" s="147"/>
      <c r="L103" s="310" t="s">
        <v>61</v>
      </c>
      <c r="M103" s="313" t="s">
        <v>402</v>
      </c>
      <c r="N103" s="314">
        <v>1.19</v>
      </c>
    </row>
    <row r="104" spans="1:14" ht="23.25">
      <c r="A104" s="155" t="s">
        <v>435</v>
      </c>
      <c r="B104" s="153">
        <v>30</v>
      </c>
      <c r="C104" s="153">
        <v>58</v>
      </c>
      <c r="D104" s="153">
        <v>71</v>
      </c>
      <c r="E104" s="153">
        <v>78</v>
      </c>
      <c r="F104" s="147"/>
      <c r="L104" s="310" t="s">
        <v>111</v>
      </c>
      <c r="M104" s="313" t="s">
        <v>403</v>
      </c>
      <c r="N104" s="314">
        <v>1.3</v>
      </c>
    </row>
    <row r="105" spans="1:14" ht="23.25">
      <c r="A105" s="154" t="s">
        <v>436</v>
      </c>
      <c r="B105" s="153">
        <v>45</v>
      </c>
      <c r="C105" s="153">
        <v>66</v>
      </c>
      <c r="D105" s="153">
        <v>77</v>
      </c>
      <c r="E105" s="153">
        <v>83</v>
      </c>
      <c r="F105" s="147"/>
      <c r="L105" s="310" t="s">
        <v>111</v>
      </c>
      <c r="M105" s="313" t="s">
        <v>404</v>
      </c>
      <c r="N105" s="314">
        <v>1.3</v>
      </c>
    </row>
    <row r="106" spans="1:14">
      <c r="L106" s="310" t="s">
        <v>111</v>
      </c>
      <c r="M106" s="313" t="s">
        <v>405</v>
      </c>
      <c r="N106" s="314">
        <v>1.3</v>
      </c>
    </row>
    <row r="107" spans="1:14">
      <c r="L107" s="310" t="s">
        <v>112</v>
      </c>
      <c r="M107" s="313" t="s">
        <v>406</v>
      </c>
      <c r="N107" s="314">
        <v>1.5</v>
      </c>
    </row>
    <row r="108" spans="1:14">
      <c r="L108" s="310" t="s">
        <v>112</v>
      </c>
      <c r="M108" s="313" t="s">
        <v>407</v>
      </c>
      <c r="N108" s="314">
        <v>1.39</v>
      </c>
    </row>
    <row r="109" spans="1:14">
      <c r="L109" s="310" t="s">
        <v>112</v>
      </c>
      <c r="M109" s="313" t="s">
        <v>408</v>
      </c>
      <c r="N109" s="314">
        <v>1.4</v>
      </c>
    </row>
    <row r="110" spans="1:14">
      <c r="L110" s="310" t="s">
        <v>112</v>
      </c>
      <c r="M110" s="313" t="s">
        <v>409</v>
      </c>
      <c r="N110" s="314">
        <v>1.2</v>
      </c>
    </row>
    <row r="111" spans="1:14">
      <c r="L111" s="310" t="s">
        <v>112</v>
      </c>
      <c r="M111" s="313" t="s">
        <v>410</v>
      </c>
      <c r="N111" s="314">
        <v>0.8</v>
      </c>
    </row>
    <row r="112" spans="1:14">
      <c r="L112" s="310" t="s">
        <v>39</v>
      </c>
      <c r="M112" s="313" t="s">
        <v>411</v>
      </c>
      <c r="N112" s="314">
        <v>0.9</v>
      </c>
    </row>
    <row r="113" spans="12:14">
      <c r="L113" s="310" t="s">
        <v>39</v>
      </c>
      <c r="M113" s="313" t="s">
        <v>412</v>
      </c>
      <c r="N113" s="314">
        <v>0.93</v>
      </c>
    </row>
    <row r="114" spans="12:14">
      <c r="L114" s="310" t="s">
        <v>39</v>
      </c>
      <c r="M114" s="313" t="s">
        <v>413</v>
      </c>
      <c r="N114" s="314">
        <v>0.71</v>
      </c>
    </row>
    <row r="115" spans="12:14">
      <c r="L115" s="310" t="s">
        <v>39</v>
      </c>
      <c r="M115" s="313" t="s">
        <v>281</v>
      </c>
      <c r="N115" s="314">
        <v>0.89</v>
      </c>
    </row>
    <row r="116" spans="12:14">
      <c r="L116" s="310" t="s">
        <v>39</v>
      </c>
      <c r="M116" s="313" t="s">
        <v>282</v>
      </c>
      <c r="N116" s="314">
        <v>0.69</v>
      </c>
    </row>
    <row r="117" spans="12:14">
      <c r="L117" s="310" t="s">
        <v>39</v>
      </c>
      <c r="M117" s="313" t="s">
        <v>283</v>
      </c>
      <c r="N117" s="314">
        <v>0.92</v>
      </c>
    </row>
    <row r="118" spans="12:14">
      <c r="L118" s="310" t="s">
        <v>39</v>
      </c>
      <c r="M118" s="313" t="s">
        <v>284</v>
      </c>
      <c r="N118" s="314">
        <v>0.89</v>
      </c>
    </row>
    <row r="119" spans="12:14">
      <c r="L119" s="310" t="s">
        <v>39</v>
      </c>
      <c r="M119" s="313" t="s">
        <v>285</v>
      </c>
      <c r="N119" s="314">
        <v>0.85</v>
      </c>
    </row>
    <row r="120" spans="12:14">
      <c r="L120" s="310" t="s">
        <v>39</v>
      </c>
      <c r="M120" s="313" t="s">
        <v>286</v>
      </c>
      <c r="N120" s="314">
        <v>0.98</v>
      </c>
    </row>
    <row r="121" spans="12:14">
      <c r="L121" s="310" t="s">
        <v>39</v>
      </c>
      <c r="M121" s="313" t="s">
        <v>287</v>
      </c>
      <c r="N121" s="314">
        <v>0.93</v>
      </c>
    </row>
    <row r="122" spans="12:14">
      <c r="L122" s="310" t="s">
        <v>40</v>
      </c>
      <c r="M122" s="313" t="s">
        <v>288</v>
      </c>
      <c r="N122" s="314">
        <v>1.56</v>
      </c>
    </row>
    <row r="123" spans="12:14">
      <c r="L123" s="310" t="s">
        <v>40</v>
      </c>
      <c r="M123" s="313" t="s">
        <v>289</v>
      </c>
      <c r="N123" s="314">
        <v>1</v>
      </c>
    </row>
    <row r="124" spans="12:14">
      <c r="L124" s="310" t="s">
        <v>40</v>
      </c>
      <c r="M124" s="313" t="s">
        <v>290</v>
      </c>
      <c r="N124" s="314">
        <v>1.33</v>
      </c>
    </row>
    <row r="125" spans="12:14">
      <c r="L125" s="310" t="s">
        <v>156</v>
      </c>
      <c r="M125" s="313" t="s">
        <v>291</v>
      </c>
      <c r="N125" s="314">
        <v>0.69</v>
      </c>
    </row>
    <row r="126" spans="12:14">
      <c r="L126" s="310" t="s">
        <v>156</v>
      </c>
      <c r="M126" s="313" t="s">
        <v>292</v>
      </c>
      <c r="N126" s="314">
        <v>1.49</v>
      </c>
    </row>
    <row r="127" spans="12:14">
      <c r="L127" s="310" t="s">
        <v>156</v>
      </c>
      <c r="M127" s="313" t="s">
        <v>293</v>
      </c>
      <c r="N127" s="314">
        <v>0.59</v>
      </c>
    </row>
    <row r="128" spans="12:14">
      <c r="L128" s="310" t="s">
        <v>157</v>
      </c>
      <c r="M128" s="313" t="s">
        <v>294</v>
      </c>
      <c r="N128" s="314">
        <v>0.89</v>
      </c>
    </row>
    <row r="129" spans="12:14">
      <c r="L129" s="310" t="s">
        <v>157</v>
      </c>
      <c r="M129" s="313" t="s">
        <v>295</v>
      </c>
      <c r="N129" s="314">
        <v>0.48</v>
      </c>
    </row>
    <row r="130" spans="12:14">
      <c r="L130" s="310" t="s">
        <v>157</v>
      </c>
      <c r="M130" s="313" t="s">
        <v>296</v>
      </c>
      <c r="N130" s="314">
        <v>0.79</v>
      </c>
    </row>
    <row r="131" spans="12:14">
      <c r="L131" s="310" t="s">
        <v>157</v>
      </c>
      <c r="M131" s="313" t="s">
        <v>297</v>
      </c>
      <c r="N131" s="314">
        <v>0.45</v>
      </c>
    </row>
    <row r="132" spans="12:14">
      <c r="L132" s="310" t="s">
        <v>157</v>
      </c>
      <c r="M132" s="313" t="s">
        <v>298</v>
      </c>
      <c r="N132" s="314">
        <v>0.89</v>
      </c>
    </row>
    <row r="133" spans="12:14">
      <c r="L133" s="310" t="s">
        <v>157</v>
      </c>
      <c r="M133" s="313" t="s">
        <v>299</v>
      </c>
      <c r="N133" s="314">
        <v>1.1000000000000001</v>
      </c>
    </row>
    <row r="134" spans="12:14">
      <c r="L134" s="310" t="s">
        <v>157</v>
      </c>
      <c r="M134" s="313" t="s">
        <v>300</v>
      </c>
      <c r="N134" s="314">
        <v>0.86</v>
      </c>
    </row>
    <row r="135" spans="12:14">
      <c r="L135" s="310" t="s">
        <v>157</v>
      </c>
      <c r="M135" s="313" t="s">
        <v>301</v>
      </c>
      <c r="N135" s="314">
        <v>0.53</v>
      </c>
    </row>
    <row r="136" spans="12:14">
      <c r="L136" s="310" t="s">
        <v>157</v>
      </c>
      <c r="M136" s="313" t="s">
        <v>302</v>
      </c>
      <c r="N136" s="314">
        <v>0.69</v>
      </c>
    </row>
    <row r="137" spans="12:14">
      <c r="L137" s="310" t="s">
        <v>158</v>
      </c>
      <c r="M137" s="313" t="s">
        <v>303</v>
      </c>
      <c r="N137" s="314">
        <v>0.64</v>
      </c>
    </row>
    <row r="138" spans="12:14">
      <c r="L138" s="310" t="s">
        <v>158</v>
      </c>
      <c r="M138" s="313" t="s">
        <v>304</v>
      </c>
      <c r="N138" s="314">
        <v>0.62</v>
      </c>
    </row>
    <row r="139" spans="12:14">
      <c r="L139" s="310" t="s">
        <v>159</v>
      </c>
      <c r="M139" s="313" t="s">
        <v>306</v>
      </c>
      <c r="N139" s="314">
        <v>0.9</v>
      </c>
    </row>
    <row r="140" spans="12:14">
      <c r="L140" s="310" t="s">
        <v>159</v>
      </c>
      <c r="M140" s="313" t="s">
        <v>421</v>
      </c>
      <c r="N140" s="314">
        <v>0.59</v>
      </c>
    </row>
    <row r="141" spans="12:14">
      <c r="L141" s="310" t="s">
        <v>159</v>
      </c>
      <c r="M141" s="313" t="s">
        <v>422</v>
      </c>
      <c r="N141" s="314">
        <v>0.9</v>
      </c>
    </row>
    <row r="142" spans="12:14">
      <c r="L142" s="310" t="s">
        <v>159</v>
      </c>
      <c r="M142" s="313" t="s">
        <v>305</v>
      </c>
      <c r="N142" s="314">
        <v>0.65</v>
      </c>
    </row>
    <row r="143" spans="12:14">
      <c r="L143" s="310" t="s">
        <v>159</v>
      </c>
      <c r="M143" s="313" t="s">
        <v>423</v>
      </c>
      <c r="N143" s="314">
        <v>0.8</v>
      </c>
    </row>
    <row r="144" spans="12:14">
      <c r="L144" s="310" t="s">
        <v>159</v>
      </c>
      <c r="M144" s="313" t="s">
        <v>424</v>
      </c>
      <c r="N144" s="314">
        <v>0.67</v>
      </c>
    </row>
    <row r="145" spans="12:14">
      <c r="L145" s="310" t="s">
        <v>68</v>
      </c>
      <c r="M145" s="313" t="s">
        <v>425</v>
      </c>
      <c r="N145" s="314">
        <v>0.33</v>
      </c>
    </row>
    <row r="146" spans="12:14">
      <c r="L146" s="310" t="s">
        <v>68</v>
      </c>
      <c r="M146" s="313" t="s">
        <v>426</v>
      </c>
      <c r="N146" s="314">
        <v>1.45</v>
      </c>
    </row>
    <row r="147" spans="12:14">
      <c r="L147" s="310" t="s">
        <v>68</v>
      </c>
      <c r="M147" s="313" t="s">
        <v>427</v>
      </c>
      <c r="N147" s="314">
        <v>0.8</v>
      </c>
    </row>
    <row r="148" spans="12:14">
      <c r="L148" s="310" t="s">
        <v>68</v>
      </c>
      <c r="M148" s="313" t="s">
        <v>428</v>
      </c>
      <c r="N148" s="314">
        <v>1.4</v>
      </c>
    </row>
    <row r="149" spans="12:14">
      <c r="L149" s="310" t="s">
        <v>68</v>
      </c>
      <c r="M149" s="313" t="s">
        <v>429</v>
      </c>
      <c r="N149" s="314">
        <v>1</v>
      </c>
    </row>
    <row r="150" spans="12:14">
      <c r="L150" s="310" t="s">
        <v>68</v>
      </c>
      <c r="M150" s="313" t="s">
        <v>430</v>
      </c>
      <c r="N150" s="314">
        <v>1.79</v>
      </c>
    </row>
    <row r="151" spans="12:14">
      <c r="L151" s="310" t="s">
        <v>68</v>
      </c>
      <c r="M151" s="313" t="s">
        <v>431</v>
      </c>
      <c r="N151" s="314">
        <v>0.39</v>
      </c>
    </row>
    <row r="152" spans="12:14">
      <c r="L152" s="310" t="s">
        <v>68</v>
      </c>
      <c r="M152" s="313" t="s">
        <v>432</v>
      </c>
      <c r="N152" s="314">
        <v>1.0900000000000001</v>
      </c>
    </row>
    <row r="153" spans="12:14">
      <c r="L153" s="310" t="s">
        <v>68</v>
      </c>
      <c r="M153" s="313" t="s">
        <v>433</v>
      </c>
      <c r="N153" s="314">
        <v>0.42</v>
      </c>
    </row>
    <row r="154" spans="12:14">
      <c r="L154" s="310" t="s">
        <v>68</v>
      </c>
      <c r="M154" s="313" t="s">
        <v>307</v>
      </c>
      <c r="N154" s="314">
        <v>0.82187652587890625</v>
      </c>
    </row>
    <row r="155" spans="12:14">
      <c r="L155" s="310" t="s">
        <v>68</v>
      </c>
      <c r="M155" s="313" t="s">
        <v>308</v>
      </c>
      <c r="N155" s="314">
        <v>1.79</v>
      </c>
    </row>
    <row r="156" spans="12:14">
      <c r="L156" s="310" t="s">
        <v>68</v>
      </c>
      <c r="M156" s="313" t="s">
        <v>309</v>
      </c>
      <c r="N156" s="314">
        <v>1.19</v>
      </c>
    </row>
    <row r="157" spans="12:14">
      <c r="L157" s="310" t="s">
        <v>68</v>
      </c>
      <c r="M157" s="313" t="s">
        <v>186</v>
      </c>
      <c r="N157" s="314">
        <v>0.45</v>
      </c>
    </row>
    <row r="158" spans="12:14">
      <c r="L158" s="310" t="s">
        <v>68</v>
      </c>
      <c r="M158" s="313" t="s">
        <v>187</v>
      </c>
      <c r="N158" s="314">
        <v>0.5</v>
      </c>
    </row>
    <row r="159" spans="12:14">
      <c r="L159" s="310" t="s">
        <v>68</v>
      </c>
      <c r="M159" s="313" t="s">
        <v>188</v>
      </c>
      <c r="N159" s="314">
        <v>1.79</v>
      </c>
    </row>
    <row r="160" spans="12:14">
      <c r="L160" s="310" t="s">
        <v>68</v>
      </c>
      <c r="M160" s="313" t="s">
        <v>189</v>
      </c>
      <c r="N160" s="314">
        <v>0.73</v>
      </c>
    </row>
    <row r="161" spans="12:14">
      <c r="L161" s="310" t="s">
        <v>68</v>
      </c>
      <c r="M161" s="313" t="s">
        <v>190</v>
      </c>
      <c r="N161" s="314">
        <v>0.46</v>
      </c>
    </row>
    <row r="162" spans="12:14">
      <c r="L162" s="310" t="s">
        <v>69</v>
      </c>
      <c r="M162" s="313" t="s">
        <v>313</v>
      </c>
      <c r="N162" s="314">
        <v>0.49</v>
      </c>
    </row>
    <row r="163" spans="12:14">
      <c r="L163" s="310" t="s">
        <v>69</v>
      </c>
      <c r="M163" s="313" t="s">
        <v>314</v>
      </c>
      <c r="N163" s="314">
        <v>1.2</v>
      </c>
    </row>
    <row r="164" spans="12:14">
      <c r="L164" s="310" t="s">
        <v>69</v>
      </c>
      <c r="M164" s="313" t="s">
        <v>195</v>
      </c>
      <c r="N164" s="314">
        <v>0.77</v>
      </c>
    </row>
    <row r="165" spans="12:14">
      <c r="L165" s="310" t="s">
        <v>69</v>
      </c>
      <c r="M165" s="313" t="s">
        <v>196</v>
      </c>
      <c r="N165" s="314">
        <v>0.9</v>
      </c>
    </row>
    <row r="166" spans="12:14">
      <c r="L166" s="310" t="s">
        <v>69</v>
      </c>
      <c r="M166" s="313" t="s">
        <v>197</v>
      </c>
      <c r="N166" s="314">
        <v>1.06</v>
      </c>
    </row>
    <row r="167" spans="12:14">
      <c r="L167" s="310" t="s">
        <v>69</v>
      </c>
      <c r="M167" s="313" t="s">
        <v>198</v>
      </c>
      <c r="N167" s="314">
        <v>0.88</v>
      </c>
    </row>
    <row r="168" spans="12:14">
      <c r="L168" s="310" t="s">
        <v>69</v>
      </c>
      <c r="M168" s="313" t="s">
        <v>311</v>
      </c>
      <c r="N168" s="314">
        <v>0.59</v>
      </c>
    </row>
    <row r="169" spans="12:14">
      <c r="L169" s="310" t="s">
        <v>69</v>
      </c>
      <c r="M169" s="313" t="s">
        <v>312</v>
      </c>
      <c r="N169" s="314">
        <v>0.8</v>
      </c>
    </row>
    <row r="170" spans="12:14">
      <c r="L170" s="310" t="s">
        <v>69</v>
      </c>
      <c r="M170" s="313" t="s">
        <v>444</v>
      </c>
      <c r="N170" s="314">
        <v>0.72</v>
      </c>
    </row>
    <row r="171" spans="12:14">
      <c r="L171" s="310" t="s">
        <v>69</v>
      </c>
      <c r="M171" s="313" t="s">
        <v>445</v>
      </c>
      <c r="N171" s="314">
        <v>1.3</v>
      </c>
    </row>
    <row r="172" spans="12:14">
      <c r="L172" s="310" t="s">
        <v>69</v>
      </c>
      <c r="M172" s="313" t="s">
        <v>315</v>
      </c>
      <c r="N172" s="314">
        <v>0.49</v>
      </c>
    </row>
    <row r="173" spans="12:14">
      <c r="L173" s="310" t="s">
        <v>69</v>
      </c>
      <c r="M173" s="313" t="s">
        <v>316</v>
      </c>
      <c r="N173" s="314">
        <v>0.69</v>
      </c>
    </row>
    <row r="174" spans="12:14">
      <c r="L174" s="310" t="s">
        <v>184</v>
      </c>
      <c r="M174" s="313" t="s">
        <v>317</v>
      </c>
      <c r="N174" s="314">
        <v>0.61</v>
      </c>
    </row>
    <row r="175" spans="12:14">
      <c r="L175" s="310" t="s">
        <v>184</v>
      </c>
      <c r="M175" s="313" t="s">
        <v>318</v>
      </c>
      <c r="N175" s="314">
        <v>0.66</v>
      </c>
    </row>
    <row r="176" spans="12:14">
      <c r="L176" s="310" t="s">
        <v>185</v>
      </c>
      <c r="M176" s="313" t="s">
        <v>319</v>
      </c>
      <c r="N176" s="314">
        <v>0.49</v>
      </c>
    </row>
    <row r="177" spans="12:14">
      <c r="L177" s="310" t="s">
        <v>185</v>
      </c>
      <c r="M177" s="313" t="s">
        <v>320</v>
      </c>
      <c r="N177" s="314">
        <v>0.57999999999999996</v>
      </c>
    </row>
    <row r="178" spans="12:14">
      <c r="L178" s="310" t="s">
        <v>185</v>
      </c>
      <c r="M178" s="313" t="s">
        <v>321</v>
      </c>
      <c r="N178" s="314">
        <v>0.39</v>
      </c>
    </row>
    <row r="179" spans="12:14">
      <c r="L179" s="310" t="s">
        <v>126</v>
      </c>
      <c r="M179" s="313" t="s">
        <v>323</v>
      </c>
      <c r="N179" s="314">
        <v>0.53</v>
      </c>
    </row>
    <row r="180" spans="12:14">
      <c r="L180" s="310" t="s">
        <v>126</v>
      </c>
      <c r="M180" s="313" t="s">
        <v>324</v>
      </c>
      <c r="N180" s="314">
        <v>0.96</v>
      </c>
    </row>
    <row r="181" spans="12:14">
      <c r="L181" s="310" t="s">
        <v>126</v>
      </c>
      <c r="M181" s="313" t="s">
        <v>322</v>
      </c>
      <c r="N181" s="314">
        <v>1.0900000000000001</v>
      </c>
    </row>
    <row r="182" spans="12:14">
      <c r="L182" s="310" t="s">
        <v>36</v>
      </c>
      <c r="M182" s="313" t="s">
        <v>325</v>
      </c>
      <c r="N182" s="314">
        <v>0.66</v>
      </c>
    </row>
    <row r="183" spans="12:14">
      <c r="L183" s="310" t="s">
        <v>37</v>
      </c>
      <c r="M183" s="313" t="s">
        <v>327</v>
      </c>
      <c r="N183" s="314">
        <v>1.08</v>
      </c>
    </row>
    <row r="184" spans="12:14">
      <c r="L184" s="310" t="s">
        <v>37</v>
      </c>
      <c r="M184" s="313" t="s">
        <v>328</v>
      </c>
      <c r="N184" s="314">
        <v>1.19</v>
      </c>
    </row>
    <row r="185" spans="12:14">
      <c r="L185" s="310" t="s">
        <v>37</v>
      </c>
      <c r="M185" s="313" t="s">
        <v>329</v>
      </c>
      <c r="N185" s="314">
        <v>1.0990524291992188</v>
      </c>
    </row>
    <row r="186" spans="12:14">
      <c r="L186" s="310" t="s">
        <v>37</v>
      </c>
      <c r="M186" s="313" t="s">
        <v>330</v>
      </c>
      <c r="N186" s="314">
        <v>1.79</v>
      </c>
    </row>
    <row r="187" spans="12:14">
      <c r="L187" s="310" t="s">
        <v>37</v>
      </c>
      <c r="M187" s="313" t="s">
        <v>326</v>
      </c>
      <c r="N187" s="314">
        <v>1.0900000000000001</v>
      </c>
    </row>
    <row r="188" spans="12:14">
      <c r="L188" s="310" t="s">
        <v>37</v>
      </c>
      <c r="M188" s="313" t="s">
        <v>331</v>
      </c>
      <c r="N188" s="314">
        <v>0.57999999999999996</v>
      </c>
    </row>
    <row r="189" spans="12:14">
      <c r="L189" s="310" t="s">
        <v>37</v>
      </c>
      <c r="M189" s="313" t="s">
        <v>332</v>
      </c>
      <c r="N189" s="314">
        <v>0.89</v>
      </c>
    </row>
    <row r="190" spans="12:14">
      <c r="L190" s="310" t="s">
        <v>37</v>
      </c>
      <c r="M190" s="313" t="s">
        <v>333</v>
      </c>
      <c r="N190" s="314">
        <v>0.59728813171386719</v>
      </c>
    </row>
    <row r="191" spans="12:14">
      <c r="L191" s="310" t="s">
        <v>70</v>
      </c>
      <c r="M191" s="313" t="s">
        <v>334</v>
      </c>
      <c r="N191" s="314">
        <v>0.81</v>
      </c>
    </row>
    <row r="192" spans="12:14">
      <c r="L192" s="310" t="s">
        <v>70</v>
      </c>
      <c r="M192" s="313" t="s">
        <v>447</v>
      </c>
      <c r="N192" s="314">
        <v>0.84</v>
      </c>
    </row>
    <row r="193" spans="12:14">
      <c r="L193" s="310" t="s">
        <v>70</v>
      </c>
      <c r="M193" s="313" t="s">
        <v>448</v>
      </c>
      <c r="N193" s="314">
        <v>0.52</v>
      </c>
    </row>
    <row r="194" spans="12:14">
      <c r="L194" s="310" t="s">
        <v>124</v>
      </c>
      <c r="M194" s="313" t="s">
        <v>449</v>
      </c>
      <c r="N194" s="314">
        <v>1.77</v>
      </c>
    </row>
    <row r="195" spans="12:14">
      <c r="L195" s="310" t="s">
        <v>124</v>
      </c>
      <c r="M195" s="313" t="s">
        <v>450</v>
      </c>
      <c r="N195" s="314">
        <v>1.05</v>
      </c>
    </row>
    <row r="196" spans="12:14">
      <c r="L196" s="310" t="s">
        <v>124</v>
      </c>
      <c r="M196" s="313" t="s">
        <v>451</v>
      </c>
      <c r="N196" s="314">
        <v>0.8</v>
      </c>
    </row>
    <row r="197" spans="12:14">
      <c r="L197" s="310" t="s">
        <v>339</v>
      </c>
      <c r="M197" s="313" t="s">
        <v>452</v>
      </c>
      <c r="N197" s="314">
        <v>0.9</v>
      </c>
    </row>
    <row r="198" spans="12:14">
      <c r="L198" s="310" t="s">
        <v>339</v>
      </c>
      <c r="M198" s="313" t="s">
        <v>453</v>
      </c>
      <c r="N198" s="314">
        <v>1</v>
      </c>
    </row>
    <row r="199" spans="12:14">
      <c r="L199" s="310" t="s">
        <v>339</v>
      </c>
      <c r="M199" s="313" t="s">
        <v>454</v>
      </c>
      <c r="N199" s="314">
        <v>1.68</v>
      </c>
    </row>
    <row r="200" spans="12:14">
      <c r="L200" s="310" t="s">
        <v>339</v>
      </c>
      <c r="M200" s="313" t="s">
        <v>455</v>
      </c>
      <c r="N200" s="314">
        <v>0.88</v>
      </c>
    </row>
    <row r="201" spans="12:14">
      <c r="L201" s="310" t="s">
        <v>171</v>
      </c>
      <c r="M201" s="313" t="s">
        <v>456</v>
      </c>
      <c r="N201" s="314">
        <v>1.59</v>
      </c>
    </row>
    <row r="202" spans="12:14">
      <c r="L202" s="310" t="s">
        <v>171</v>
      </c>
      <c r="M202" s="313" t="s">
        <v>457</v>
      </c>
      <c r="N202" s="314">
        <v>0.69</v>
      </c>
    </row>
    <row r="203" spans="12:14">
      <c r="L203" s="310" t="s">
        <v>172</v>
      </c>
      <c r="M203" s="313" t="s">
        <v>458</v>
      </c>
      <c r="N203" s="314">
        <v>0.63</v>
      </c>
    </row>
    <row r="204" spans="12:14">
      <c r="L204" s="310" t="s">
        <v>172</v>
      </c>
      <c r="M204" s="313" t="s">
        <v>459</v>
      </c>
      <c r="N204" s="314">
        <v>1.0900000000000001</v>
      </c>
    </row>
    <row r="205" spans="12:14">
      <c r="L205" s="310" t="s">
        <v>172</v>
      </c>
      <c r="M205" s="313" t="s">
        <v>460</v>
      </c>
      <c r="N205" s="314">
        <v>0.4</v>
      </c>
    </row>
    <row r="206" spans="12:14">
      <c r="L206" s="310" t="s">
        <v>172</v>
      </c>
      <c r="M206" s="313" t="s">
        <v>461</v>
      </c>
      <c r="N206" s="314">
        <v>0.79</v>
      </c>
    </row>
    <row r="207" spans="12:14">
      <c r="L207" s="310" t="s">
        <v>172</v>
      </c>
      <c r="M207" s="313" t="s">
        <v>462</v>
      </c>
      <c r="N207" s="314">
        <v>0.28999999999999998</v>
      </c>
    </row>
    <row r="208" spans="12:14">
      <c r="L208" s="310" t="s">
        <v>173</v>
      </c>
      <c r="M208" s="313" t="s">
        <v>463</v>
      </c>
      <c r="N208" s="314">
        <v>0.93</v>
      </c>
    </row>
    <row r="209" spans="12:14">
      <c r="L209" s="310" t="s">
        <v>57</v>
      </c>
      <c r="M209" s="313" t="s">
        <v>464</v>
      </c>
      <c r="N209" s="314">
        <v>0.89</v>
      </c>
    </row>
    <row r="210" spans="12:14">
      <c r="L210" s="310" t="s">
        <v>57</v>
      </c>
      <c r="M210" s="313" t="s">
        <v>465</v>
      </c>
      <c r="N210" s="314">
        <v>1</v>
      </c>
    </row>
    <row r="211" spans="12:14">
      <c r="L211" s="310" t="s">
        <v>57</v>
      </c>
      <c r="M211" s="313" t="s">
        <v>466</v>
      </c>
      <c r="N211" s="314">
        <v>1.59</v>
      </c>
    </row>
    <row r="212" spans="12:14">
      <c r="L212" s="310" t="s">
        <v>57</v>
      </c>
      <c r="M212" s="313" t="s">
        <v>467</v>
      </c>
      <c r="N212" s="314">
        <v>1.7</v>
      </c>
    </row>
    <row r="213" spans="12:14">
      <c r="L213" s="310" t="s">
        <v>58</v>
      </c>
      <c r="M213" s="313" t="s">
        <v>468</v>
      </c>
      <c r="N213" s="314">
        <v>0.5</v>
      </c>
    </row>
    <row r="214" spans="12:14">
      <c r="L214" s="310" t="s">
        <v>71</v>
      </c>
      <c r="M214" s="315" t="s">
        <v>71</v>
      </c>
      <c r="N214" s="314">
        <v>0.65</v>
      </c>
    </row>
    <row r="215" spans="12:14">
      <c r="L215" s="310" t="s">
        <v>59</v>
      </c>
      <c r="M215" s="313" t="s">
        <v>342</v>
      </c>
      <c r="N215" s="314">
        <v>1.2</v>
      </c>
    </row>
    <row r="216" spans="12:14">
      <c r="L216" s="310" t="s">
        <v>59</v>
      </c>
      <c r="M216" s="313" t="s">
        <v>343</v>
      </c>
      <c r="N216" s="314">
        <v>0.86</v>
      </c>
    </row>
    <row r="217" spans="12:14">
      <c r="L217" s="310" t="s">
        <v>59</v>
      </c>
      <c r="M217" s="313" t="s">
        <v>344</v>
      </c>
      <c r="N217" s="314">
        <v>0.64</v>
      </c>
    </row>
    <row r="218" spans="12:14">
      <c r="L218" s="310" t="s">
        <v>60</v>
      </c>
      <c r="M218" s="313" t="s">
        <v>345</v>
      </c>
      <c r="N218" s="314">
        <v>1.49</v>
      </c>
    </row>
    <row r="219" spans="12:14">
      <c r="L219" s="310" t="s">
        <v>60</v>
      </c>
      <c r="M219" s="313" t="s">
        <v>346</v>
      </c>
      <c r="N219" s="314">
        <v>0.96</v>
      </c>
    </row>
    <row r="220" spans="12:14">
      <c r="L220" s="310" t="s">
        <v>60</v>
      </c>
      <c r="M220" s="313" t="s">
        <v>347</v>
      </c>
      <c r="N220" s="314">
        <v>0.89</v>
      </c>
    </row>
    <row r="221" spans="12:14">
      <c r="L221" s="310" t="s">
        <v>135</v>
      </c>
      <c r="M221" s="313" t="s">
        <v>348</v>
      </c>
      <c r="N221" s="314">
        <v>1.1000000000000001</v>
      </c>
    </row>
    <row r="222" spans="12:14">
      <c r="L222" s="310" t="s">
        <v>135</v>
      </c>
      <c r="M222" s="313" t="s">
        <v>349</v>
      </c>
      <c r="N222" s="314">
        <v>0.56999999999999995</v>
      </c>
    </row>
    <row r="223" spans="12:14">
      <c r="L223" s="310" t="s">
        <v>135</v>
      </c>
      <c r="M223" s="313" t="s">
        <v>350</v>
      </c>
      <c r="N223" s="314">
        <v>1.45</v>
      </c>
    </row>
    <row r="224" spans="12:14">
      <c r="L224" s="310" t="s">
        <v>135</v>
      </c>
      <c r="M224" s="313" t="s">
        <v>351</v>
      </c>
      <c r="N224" s="314">
        <v>1.2</v>
      </c>
    </row>
    <row r="225" spans="12:14">
      <c r="L225" s="310" t="s">
        <v>135</v>
      </c>
      <c r="M225" s="313" t="s">
        <v>352</v>
      </c>
      <c r="N225" s="314">
        <v>1.01</v>
      </c>
    </row>
    <row r="226" spans="12:14">
      <c r="L226" s="310" t="s">
        <v>135</v>
      </c>
      <c r="M226" s="313" t="s">
        <v>353</v>
      </c>
      <c r="N226" s="314">
        <v>0.74</v>
      </c>
    </row>
    <row r="227" spans="12:14">
      <c r="L227" s="310" t="s">
        <v>135</v>
      </c>
      <c r="M227" s="313" t="s">
        <v>354</v>
      </c>
      <c r="N227" s="314">
        <v>1.23</v>
      </c>
    </row>
    <row r="228" spans="12:14">
      <c r="L228" s="310" t="s">
        <v>135</v>
      </c>
      <c r="M228" s="313" t="s">
        <v>355</v>
      </c>
      <c r="N228" s="314">
        <v>0.88</v>
      </c>
    </row>
    <row r="229" spans="12:14">
      <c r="L229" s="310" t="s">
        <v>135</v>
      </c>
      <c r="M229" s="313" t="s">
        <v>356</v>
      </c>
      <c r="N229" s="314">
        <v>0.89</v>
      </c>
    </row>
    <row r="230" spans="12:14">
      <c r="L230" s="310" t="s">
        <v>135</v>
      </c>
      <c r="M230" s="313" t="s">
        <v>357</v>
      </c>
      <c r="N230" s="314">
        <v>0.99</v>
      </c>
    </row>
    <row r="231" spans="12:14">
      <c r="L231" s="310" t="s">
        <v>136</v>
      </c>
      <c r="M231" s="313" t="s">
        <v>358</v>
      </c>
      <c r="N231" s="314">
        <v>1.2088050842285156</v>
      </c>
    </row>
    <row r="232" spans="12:14">
      <c r="L232" s="310" t="s">
        <v>136</v>
      </c>
      <c r="M232" s="313" t="s">
        <v>359</v>
      </c>
      <c r="N232" s="314">
        <v>1.07</v>
      </c>
    </row>
    <row r="233" spans="12:14">
      <c r="L233" s="310" t="s">
        <v>136</v>
      </c>
      <c r="M233" s="313" t="s">
        <v>360</v>
      </c>
      <c r="N233" s="314">
        <v>1.2</v>
      </c>
    </row>
    <row r="234" spans="12:14">
      <c r="L234" s="310" t="s">
        <v>137</v>
      </c>
      <c r="M234" s="313" t="s">
        <v>361</v>
      </c>
      <c r="N234" s="314">
        <v>0.6</v>
      </c>
    </row>
    <row r="235" spans="12:14">
      <c r="L235" s="310" t="s">
        <v>137</v>
      </c>
      <c r="M235" s="313" t="s">
        <v>362</v>
      </c>
      <c r="N235" s="314">
        <v>1.8</v>
      </c>
    </row>
    <row r="236" spans="12:14">
      <c r="L236" s="310" t="s">
        <v>137</v>
      </c>
      <c r="M236" s="313" t="s">
        <v>475</v>
      </c>
      <c r="N236" s="314">
        <v>1.4</v>
      </c>
    </row>
    <row r="237" spans="12:14">
      <c r="L237" s="310" t="s">
        <v>138</v>
      </c>
      <c r="M237" s="313" t="s">
        <v>476</v>
      </c>
      <c r="N237" s="314">
        <v>0.65</v>
      </c>
    </row>
    <row r="238" spans="12:14">
      <c r="L238" s="310" t="s">
        <v>139</v>
      </c>
      <c r="M238" s="313" t="s">
        <v>477</v>
      </c>
      <c r="N238" s="314">
        <v>1.49</v>
      </c>
    </row>
    <row r="239" spans="12:14">
      <c r="L239" s="310" t="s">
        <v>139</v>
      </c>
      <c r="M239" s="313" t="s">
        <v>478</v>
      </c>
      <c r="N239" s="314">
        <v>0.71</v>
      </c>
    </row>
  </sheetData>
  <sheetProtection password="9DCD" sheet="1" objects="1" scenarios="1" selectLockedCells="1" selectUnlockedCells="1"/>
  <mergeCells count="1">
    <mergeCell ref="O1:T7"/>
  </mergeCells>
  <phoneticPr fontId="43" type="noConversion"/>
  <pageMargins left="0.75" right="0.75" top="1" bottom="1" header="0.5" footer="0.5"/>
  <pageSetup orientation="portrait" horizontalDpi="4294967292" verticalDpi="4294967292"/>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
  <sheetViews>
    <sheetView workbookViewId="0">
      <selection activeCell="J16" sqref="J16"/>
    </sheetView>
  </sheetViews>
  <sheetFormatPr defaultColWidth="11.42578125" defaultRowHeight="12.75"/>
  <cols>
    <col min="1" max="16384" width="11.42578125" style="308"/>
  </cols>
  <sheetData/>
  <phoneticPr fontId="49"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indexed="13"/>
    <pageSetUpPr fitToPage="1"/>
  </sheetPr>
  <dimension ref="A1:AJ74"/>
  <sheetViews>
    <sheetView zoomScale="75" zoomScaleNormal="77" workbookViewId="0">
      <selection activeCell="H13" sqref="H13:M13"/>
    </sheetView>
  </sheetViews>
  <sheetFormatPr defaultRowHeight="15"/>
  <cols>
    <col min="1" max="1" width="1.85546875" style="6" customWidth="1"/>
    <col min="2" max="2" width="2.28515625" style="6" customWidth="1"/>
    <col min="3" max="3" width="39" style="12" customWidth="1"/>
    <col min="4" max="4" width="20.42578125" style="6" customWidth="1"/>
    <col min="5" max="5" width="1.85546875" style="6" customWidth="1"/>
    <col min="6" max="6" width="27.85546875" style="6" customWidth="1"/>
    <col min="7" max="7" width="42.140625" style="6" customWidth="1"/>
    <col min="8" max="8" width="8.28515625" style="6" customWidth="1"/>
    <col min="9" max="9" width="5.85546875" style="6" customWidth="1"/>
    <col min="10" max="10" width="11.28515625" style="6" customWidth="1"/>
    <col min="11" max="11" width="17.28515625" style="6" customWidth="1"/>
    <col min="12" max="12" width="1.28515625" style="6" customWidth="1"/>
    <col min="13" max="13" width="9" style="6" customWidth="1"/>
    <col min="14" max="14" width="2.140625" style="6" customWidth="1"/>
    <col min="15" max="15" width="9.42578125" style="183" customWidth="1"/>
    <col min="16" max="16" width="5.85546875" style="34" hidden="1" customWidth="1"/>
    <col min="17" max="17" width="21.140625" style="34" hidden="1" customWidth="1"/>
    <col min="18" max="18" width="22.140625" style="34" hidden="1" customWidth="1"/>
    <col min="19" max="19" width="13.5703125" style="34" hidden="1" customWidth="1"/>
    <col min="20" max="20" width="20.7109375" style="34" hidden="1" customWidth="1"/>
    <col min="21" max="21" width="5.42578125" style="34" hidden="1" customWidth="1"/>
    <col min="22" max="22" width="7.140625" style="34" hidden="1" customWidth="1"/>
    <col min="23" max="23" width="19" style="34" hidden="1" customWidth="1"/>
    <col min="24" max="24" width="5.85546875" style="34" hidden="1" customWidth="1"/>
    <col min="25" max="25" width="4.42578125" style="34" hidden="1" customWidth="1"/>
    <col min="26" max="26" width="5.85546875" style="33" hidden="1" customWidth="1"/>
    <col min="27" max="27" width="8.42578125" style="33" hidden="1" customWidth="1"/>
    <col min="28" max="30" width="9.140625" style="33"/>
    <col min="31" max="16384" width="9.140625" style="6"/>
  </cols>
  <sheetData>
    <row r="1" spans="1:30" ht="40.5" customHeight="1">
      <c r="A1" s="6" t="s">
        <v>441</v>
      </c>
      <c r="B1" s="393" t="s">
        <v>491</v>
      </c>
      <c r="C1" s="393"/>
      <c r="D1" s="393"/>
      <c r="E1" s="393"/>
      <c r="F1" s="393"/>
      <c r="G1" s="393"/>
      <c r="H1" s="393"/>
      <c r="I1" s="393"/>
      <c r="J1" s="393"/>
      <c r="K1" s="393"/>
      <c r="L1" s="393"/>
      <c r="M1" s="393"/>
      <c r="N1" s="393"/>
    </row>
    <row r="2" spans="1:30" ht="9.75" customHeight="1" thickBot="1">
      <c r="B2" s="18"/>
      <c r="C2" s="23"/>
      <c r="D2" s="24"/>
      <c r="E2" s="25"/>
      <c r="F2" s="26"/>
      <c r="G2" s="22"/>
      <c r="H2" s="25"/>
      <c r="I2" s="25"/>
      <c r="J2" s="25"/>
      <c r="K2" s="25"/>
      <c r="L2" s="105"/>
      <c r="M2" s="18"/>
      <c r="N2" s="18"/>
    </row>
    <row r="3" spans="1:30" ht="122.25" customHeight="1">
      <c r="B3" s="18"/>
      <c r="C3" s="401" t="s">
        <v>127</v>
      </c>
      <c r="D3" s="224"/>
      <c r="E3" s="148"/>
      <c r="F3" s="223" t="s">
        <v>19</v>
      </c>
      <c r="G3" s="189" t="s">
        <v>12</v>
      </c>
      <c r="H3" s="405" t="s">
        <v>131</v>
      </c>
      <c r="I3" s="405"/>
      <c r="J3" s="405"/>
      <c r="K3" s="405"/>
      <c r="L3" s="405"/>
      <c r="M3" s="405"/>
      <c r="N3" s="18"/>
      <c r="O3" s="274"/>
      <c r="P3" s="44" t="str">
        <f>IF(H3="county","",VLOOKUP(H3,'No Edit'!A28:C85,3,0))</f>
        <v/>
      </c>
      <c r="Q3" s="44"/>
      <c r="R3" s="44"/>
      <c r="S3" s="44"/>
      <c r="T3" s="44"/>
      <c r="U3" s="44"/>
      <c r="V3" s="44"/>
      <c r="W3" s="44"/>
      <c r="X3" s="44"/>
      <c r="Y3" s="44"/>
      <c r="Z3" s="6"/>
      <c r="AA3" s="6"/>
      <c r="AB3" s="6"/>
      <c r="AC3" s="6"/>
      <c r="AD3" s="6"/>
    </row>
    <row r="4" spans="1:30" ht="123.75" customHeight="1" thickBot="1">
      <c r="B4" s="18"/>
      <c r="C4" s="402"/>
      <c r="D4" s="229"/>
      <c r="E4" s="149"/>
      <c r="F4" s="225"/>
      <c r="G4" s="189" t="s">
        <v>13</v>
      </c>
      <c r="H4" s="439" t="s">
        <v>479</v>
      </c>
      <c r="I4" s="439"/>
      <c r="J4" s="439"/>
      <c r="K4" s="439"/>
      <c r="L4" s="439"/>
      <c r="M4" s="439"/>
      <c r="N4" s="18"/>
      <c r="O4" s="274"/>
      <c r="P4" s="44">
        <f>IF(F4="",VLOOKUP('Volume Calculator'!H4,'No Edit'!M2:N239,2,0),F4)</f>
        <v>0</v>
      </c>
      <c r="Q4" s="44"/>
      <c r="R4" s="44"/>
      <c r="S4" s="44"/>
      <c r="T4" s="44"/>
      <c r="U4" s="44"/>
      <c r="V4" s="44"/>
      <c r="W4" s="44"/>
      <c r="X4" s="44"/>
      <c r="Y4" s="44"/>
      <c r="Z4" s="6"/>
      <c r="AA4" s="6"/>
      <c r="AB4" s="6"/>
      <c r="AC4" s="6"/>
      <c r="AD4" s="6"/>
    </row>
    <row r="5" spans="1:30" ht="22.5" customHeight="1">
      <c r="B5" s="18"/>
      <c r="C5" s="403" t="s">
        <v>337</v>
      </c>
      <c r="D5" s="404"/>
      <c r="E5" s="201"/>
      <c r="F5" s="202"/>
      <c r="G5" s="442" t="s">
        <v>179</v>
      </c>
      <c r="H5" s="442"/>
      <c r="I5" s="442"/>
      <c r="J5" s="442"/>
      <c r="K5" s="442"/>
      <c r="L5" s="442"/>
      <c r="M5" s="442"/>
      <c r="N5" s="18"/>
      <c r="O5" s="274"/>
      <c r="P5" s="44"/>
      <c r="Q5" s="44"/>
      <c r="R5" s="44" t="s">
        <v>25</v>
      </c>
      <c r="S5" s="44"/>
      <c r="T5" s="44"/>
      <c r="U5" s="44"/>
      <c r="V5" s="44"/>
      <c r="W5" s="44"/>
      <c r="X5" s="44"/>
      <c r="Y5" s="44"/>
      <c r="Z5" s="6"/>
      <c r="AA5" s="6"/>
      <c r="AB5" s="6"/>
      <c r="AC5" s="6"/>
      <c r="AD5" s="6"/>
    </row>
    <row r="6" spans="1:30" ht="123.75" customHeight="1" thickBot="1">
      <c r="B6" s="18"/>
      <c r="C6" s="203" t="s">
        <v>34</v>
      </c>
      <c r="D6" s="366" t="s">
        <v>443</v>
      </c>
      <c r="E6" s="366"/>
      <c r="F6" s="366"/>
      <c r="G6" s="191" t="s">
        <v>14</v>
      </c>
      <c r="H6" s="447" t="s">
        <v>26</v>
      </c>
      <c r="I6" s="448"/>
      <c r="J6" s="440" t="str">
        <f>IF(H6="Soil Type","",VLOOKUP(H6,'No Edit'!G1:I5,3,0))</f>
        <v/>
      </c>
      <c r="K6" s="441"/>
      <c r="L6" s="441"/>
      <c r="M6" s="441"/>
      <c r="N6" s="138"/>
      <c r="O6" s="286"/>
      <c r="P6" s="287"/>
      <c r="R6" s="321" t="s">
        <v>33</v>
      </c>
      <c r="S6" s="45" t="s">
        <v>31</v>
      </c>
      <c r="T6" s="44"/>
      <c r="U6" s="44"/>
      <c r="V6" s="44">
        <f>IF(H6="Soil Type",0,VLOOKUP(H6,'No Edit'!G2:H5,2,0))</f>
        <v>0</v>
      </c>
      <c r="W6" s="44"/>
      <c r="X6" s="288"/>
      <c r="Y6" s="288"/>
      <c r="Z6" s="289"/>
      <c r="AA6" s="289"/>
      <c r="AB6" s="289"/>
      <c r="AC6" s="6"/>
      <c r="AD6" s="6"/>
    </row>
    <row r="7" spans="1:30" ht="68.25" customHeight="1" thickBot="1">
      <c r="B7" s="18"/>
      <c r="C7" s="204" t="s">
        <v>21</v>
      </c>
      <c r="D7" s="350" t="s">
        <v>442</v>
      </c>
      <c r="E7" s="350"/>
      <c r="F7" s="350"/>
      <c r="G7" s="192" t="s">
        <v>15</v>
      </c>
      <c r="H7" s="357" t="s">
        <v>438</v>
      </c>
      <c r="I7" s="358"/>
      <c r="J7" s="358"/>
      <c r="K7" s="358"/>
      <c r="L7" s="358"/>
      <c r="M7" s="359"/>
      <c r="N7" s="139"/>
      <c r="O7" s="290"/>
      <c r="P7" s="291"/>
      <c r="Q7" s="175" t="s">
        <v>3</v>
      </c>
      <c r="R7" s="322">
        <f>IF(F11="",0,F11)</f>
        <v>0</v>
      </c>
      <c r="S7" s="323">
        <v>98</v>
      </c>
      <c r="T7" s="44"/>
      <c r="U7" s="44"/>
      <c r="V7" s="44">
        <f>IF(H7="Non-Built Land Use Type Pre Development",0,VLOOKUP(H7,'No Edit'!A3:E22,V6+1,0))</f>
        <v>0</v>
      </c>
      <c r="W7" s="44" t="s">
        <v>128</v>
      </c>
      <c r="X7" s="288"/>
      <c r="Y7" s="288"/>
      <c r="Z7" s="289"/>
      <c r="AA7" s="289"/>
      <c r="AB7" s="289"/>
      <c r="AC7" s="6"/>
      <c r="AD7" s="6"/>
    </row>
    <row r="8" spans="1:30" ht="82.5" customHeight="1" thickBot="1">
      <c r="B8" s="18"/>
      <c r="C8" s="205" t="s">
        <v>35</v>
      </c>
      <c r="D8" s="367" t="s">
        <v>182</v>
      </c>
      <c r="E8" s="367"/>
      <c r="F8" s="367"/>
      <c r="G8" s="193" t="s">
        <v>16</v>
      </c>
      <c r="H8" s="357" t="s">
        <v>437</v>
      </c>
      <c r="I8" s="358"/>
      <c r="J8" s="358"/>
      <c r="K8" s="358"/>
      <c r="L8" s="358"/>
      <c r="M8" s="359"/>
      <c r="N8" s="139"/>
      <c r="O8" s="290"/>
      <c r="P8" s="291"/>
      <c r="Q8" s="175"/>
      <c r="R8" s="281"/>
      <c r="S8" s="44"/>
      <c r="T8" s="44"/>
      <c r="U8" s="44"/>
      <c r="V8" s="44"/>
      <c r="W8" s="44"/>
      <c r="X8" s="288"/>
      <c r="Y8" s="288"/>
      <c r="Z8" s="289"/>
      <c r="AA8" s="289"/>
      <c r="AB8" s="289"/>
      <c r="AC8" s="6"/>
      <c r="AD8" s="6"/>
    </row>
    <row r="9" spans="1:30" ht="30" customHeight="1" thickBot="1">
      <c r="B9" s="18"/>
      <c r="C9" s="203" t="s">
        <v>90</v>
      </c>
      <c r="D9" s="366" t="s">
        <v>440</v>
      </c>
      <c r="E9" s="366"/>
      <c r="F9" s="366"/>
      <c r="G9" s="190"/>
      <c r="H9" s="363" t="s">
        <v>56</v>
      </c>
      <c r="I9" s="364"/>
      <c r="J9" s="365"/>
      <c r="K9" s="162"/>
      <c r="L9" s="163"/>
      <c r="M9" s="163"/>
      <c r="N9" s="139"/>
      <c r="O9" s="290"/>
      <c r="P9" s="291"/>
      <c r="Q9" s="175"/>
      <c r="R9" s="281"/>
      <c r="S9" s="44"/>
      <c r="T9" s="44"/>
      <c r="U9" s="44"/>
      <c r="V9" s="44"/>
      <c r="W9" s="44"/>
      <c r="X9" s="288"/>
      <c r="Y9" s="288"/>
      <c r="Z9" s="289"/>
      <c r="AA9" s="289"/>
      <c r="AB9" s="289"/>
      <c r="AC9" s="6"/>
      <c r="AD9" s="6"/>
    </row>
    <row r="10" spans="1:30" ht="14.25" customHeight="1">
      <c r="B10" s="18"/>
      <c r="C10" s="351" t="s">
        <v>492</v>
      </c>
      <c r="D10" s="352"/>
      <c r="E10" s="352"/>
      <c r="F10" s="353"/>
      <c r="G10" s="190"/>
      <c r="H10" s="446" t="s">
        <v>54</v>
      </c>
      <c r="I10" s="446"/>
      <c r="J10" s="184" t="s">
        <v>55</v>
      </c>
      <c r="K10" s="397" t="s">
        <v>55</v>
      </c>
      <c r="L10" s="398"/>
      <c r="M10" s="399"/>
      <c r="N10" s="139"/>
      <c r="O10" s="290"/>
      <c r="P10" s="291"/>
      <c r="Q10" s="175"/>
      <c r="R10" s="281"/>
      <c r="S10" s="44"/>
      <c r="T10" s="44"/>
      <c r="U10" s="44"/>
      <c r="V10" s="44"/>
      <c r="W10" s="44"/>
      <c r="X10" s="288"/>
      <c r="Y10" s="288"/>
      <c r="Z10" s="289"/>
      <c r="AA10" s="289"/>
      <c r="AB10" s="289"/>
      <c r="AC10" s="6"/>
      <c r="AD10" s="6"/>
    </row>
    <row r="11" spans="1:30" ht="33.75" customHeight="1">
      <c r="B11" s="18"/>
      <c r="C11" s="360" t="s">
        <v>528</v>
      </c>
      <c r="D11" s="361"/>
      <c r="E11" s="362"/>
      <c r="F11" s="206" t="str">
        <f>IF(H6="Soil Type","",IF(V7="FALSE","",IF(V16=0,"",IF(K16=0,"",((V16+((K17+K18)/K16)*(98-V16)))))))</f>
        <v/>
      </c>
      <c r="G11" s="194" t="s">
        <v>17</v>
      </c>
      <c r="H11" s="342"/>
      <c r="I11" s="343"/>
      <c r="J11" s="226"/>
      <c r="K11" s="400">
        <f>IF(H11="",J11,H11/43560)</f>
        <v>0</v>
      </c>
      <c r="L11" s="398"/>
      <c r="M11" s="398"/>
      <c r="N11" s="144"/>
      <c r="O11" s="290"/>
      <c r="P11" s="291"/>
      <c r="Q11" s="175"/>
      <c r="R11" s="281"/>
      <c r="S11" s="44"/>
      <c r="T11" s="44"/>
      <c r="U11" s="44"/>
      <c r="V11" s="44"/>
      <c r="W11" s="44"/>
      <c r="X11" s="288"/>
      <c r="Y11" s="288"/>
      <c r="Z11" s="289"/>
      <c r="AA11" s="289"/>
      <c r="AB11" s="289"/>
      <c r="AC11" s="6"/>
      <c r="AD11" s="6"/>
    </row>
    <row r="12" spans="1:30" ht="36" customHeight="1" thickBot="1">
      <c r="B12" s="18"/>
      <c r="C12" s="344" t="s">
        <v>529</v>
      </c>
      <c r="D12" s="345"/>
      <c r="E12" s="346"/>
      <c r="F12" s="207" t="str">
        <f>IF(H6="Soil Type","",IF(V17="FALSE","",IF(V18=0,"",IF(K16=0,"",(V18+((K19+K20)/K16)*(98-V18))))))</f>
        <v/>
      </c>
      <c r="G12" s="195" t="s">
        <v>18</v>
      </c>
      <c r="H12" s="342"/>
      <c r="I12" s="343"/>
      <c r="J12" s="226"/>
      <c r="K12" s="400">
        <f>IF(H12="",J12,H12/43560)</f>
        <v>0</v>
      </c>
      <c r="L12" s="398"/>
      <c r="M12" s="398"/>
      <c r="N12" s="144"/>
      <c r="O12" s="290"/>
      <c r="P12" s="291"/>
      <c r="Q12" s="175"/>
      <c r="R12" s="281"/>
      <c r="S12" s="44"/>
      <c r="T12" s="44"/>
      <c r="U12" s="44"/>
      <c r="V12" s="44"/>
      <c r="W12" s="44"/>
      <c r="X12" s="288"/>
      <c r="Y12" s="288"/>
      <c r="Z12" s="289"/>
      <c r="AA12" s="289"/>
      <c r="AB12" s="289"/>
      <c r="AC12" s="6"/>
      <c r="AD12" s="6"/>
    </row>
    <row r="13" spans="1:30" ht="33.75" customHeight="1">
      <c r="B13" s="18"/>
      <c r="C13" s="386" t="s">
        <v>503</v>
      </c>
      <c r="D13" s="387"/>
      <c r="E13" s="387"/>
      <c r="F13" s="388"/>
      <c r="G13" s="196" t="s">
        <v>78</v>
      </c>
      <c r="H13" s="394" t="str">
        <f>IF(K11=0,"",IF(K12=0,"",K12/K11))</f>
        <v/>
      </c>
      <c r="I13" s="395"/>
      <c r="J13" s="395"/>
      <c r="K13" s="395"/>
      <c r="L13" s="395"/>
      <c r="M13" s="396"/>
      <c r="N13" s="139"/>
      <c r="O13" s="290"/>
      <c r="P13" s="291"/>
      <c r="Q13" s="175"/>
      <c r="R13" s="281"/>
      <c r="S13" s="44"/>
      <c r="T13" s="44"/>
      <c r="U13" s="44"/>
      <c r="V13" s="44"/>
      <c r="W13" s="44"/>
      <c r="X13" s="288"/>
      <c r="Y13" s="288"/>
      <c r="Z13" s="289"/>
      <c r="AA13" s="289"/>
      <c r="AB13" s="289"/>
      <c r="AC13" s="6"/>
      <c r="AD13" s="6"/>
    </row>
    <row r="14" spans="1:30" ht="59.1" customHeight="1">
      <c r="B14" s="18"/>
      <c r="C14" s="186" t="s">
        <v>191</v>
      </c>
      <c r="D14" s="347" t="str">
        <f>IF(F4="",IF(H4="location",P3,P4),F4)</f>
        <v/>
      </c>
      <c r="E14" s="347"/>
      <c r="F14" s="208" t="s">
        <v>193</v>
      </c>
      <c r="G14" s="159"/>
      <c r="H14" s="161"/>
      <c r="I14" s="161"/>
      <c r="J14" s="161"/>
      <c r="K14" s="168"/>
      <c r="L14" s="169"/>
      <c r="M14" s="170"/>
      <c r="N14" s="139"/>
      <c r="O14" s="290"/>
      <c r="P14" s="291"/>
      <c r="Q14" s="175"/>
      <c r="R14" s="281"/>
      <c r="S14" s="44"/>
      <c r="T14" s="44"/>
      <c r="U14" s="44"/>
      <c r="V14" s="44"/>
      <c r="W14" s="44"/>
      <c r="X14" s="288"/>
      <c r="Y14" s="288"/>
      <c r="Z14" s="289"/>
      <c r="AA14" s="289"/>
      <c r="AB14" s="289"/>
      <c r="AC14" s="6"/>
      <c r="AD14" s="6"/>
    </row>
    <row r="15" spans="1:30" ht="48" customHeight="1">
      <c r="B15" s="18"/>
      <c r="C15" s="209" t="s">
        <v>7</v>
      </c>
      <c r="D15" s="347" t="str">
        <f>IF(D14="","",IF(R16="","",0.2*R16*1.01))</f>
        <v/>
      </c>
      <c r="E15" s="347"/>
      <c r="F15" s="208" t="s">
        <v>192</v>
      </c>
      <c r="G15" s="160" t="s">
        <v>469</v>
      </c>
      <c r="H15" s="354" t="s">
        <v>56</v>
      </c>
      <c r="I15" s="355"/>
      <c r="J15" s="356"/>
      <c r="K15" s="368" t="s">
        <v>80</v>
      </c>
      <c r="L15" s="369"/>
      <c r="M15" s="369"/>
      <c r="N15" s="139"/>
      <c r="O15" s="290"/>
      <c r="P15" s="291"/>
      <c r="Q15" s="175"/>
      <c r="R15" s="281"/>
      <c r="S15" s="44"/>
      <c r="T15" s="44"/>
      <c r="U15" s="44"/>
      <c r="V15" s="44"/>
      <c r="W15" s="44"/>
      <c r="X15" s="288"/>
      <c r="Y15" s="288"/>
      <c r="Z15" s="289"/>
      <c r="AA15" s="289"/>
      <c r="AB15" s="289"/>
      <c r="AC15" s="6"/>
      <c r="AD15" s="6"/>
    </row>
    <row r="16" spans="1:30" ht="36" customHeight="1">
      <c r="B16" s="18"/>
      <c r="C16" s="210" t="s">
        <v>125</v>
      </c>
      <c r="D16" s="347" t="str">
        <f>IF(D15&gt;D14, D15,D14)</f>
        <v/>
      </c>
      <c r="E16" s="347"/>
      <c r="F16" s="211" t="s">
        <v>192</v>
      </c>
      <c r="G16" s="187" t="s">
        <v>29</v>
      </c>
      <c r="H16" s="444" t="s">
        <v>54</v>
      </c>
      <c r="I16" s="445"/>
      <c r="J16" s="164" t="s">
        <v>55</v>
      </c>
      <c r="K16" s="400">
        <f>K12</f>
        <v>0</v>
      </c>
      <c r="L16" s="443"/>
      <c r="M16" s="443"/>
      <c r="N16" s="144"/>
      <c r="O16" s="274"/>
      <c r="P16" s="44"/>
      <c r="Q16" s="44" t="s">
        <v>47</v>
      </c>
      <c r="R16" s="279">
        <f>IF(R7=0,0,(1000/R7)-10)</f>
        <v>0</v>
      </c>
      <c r="S16" s="279">
        <f>(1000/S7)-10</f>
        <v>0.2</v>
      </c>
      <c r="T16" s="44"/>
      <c r="U16" s="44" t="s">
        <v>3</v>
      </c>
      <c r="V16" s="44" t="str">
        <f>IF(V6=0,"",V7)</f>
        <v/>
      </c>
      <c r="W16" s="44" t="s">
        <v>4</v>
      </c>
      <c r="X16" s="288"/>
      <c r="Y16" s="288"/>
      <c r="Z16" s="289"/>
      <c r="AA16" s="289"/>
      <c r="AB16" s="289"/>
      <c r="AC16" s="6"/>
      <c r="AD16" s="6"/>
    </row>
    <row r="17" spans="2:30" ht="32.25" customHeight="1">
      <c r="B17" s="18"/>
      <c r="C17" s="271" t="s">
        <v>30</v>
      </c>
      <c r="D17" s="212"/>
      <c r="E17" s="106"/>
      <c r="F17" s="213"/>
      <c r="G17" s="187" t="s">
        <v>494</v>
      </c>
      <c r="H17" s="348"/>
      <c r="I17" s="349"/>
      <c r="J17" s="227"/>
      <c r="K17" s="429">
        <f>IF(H17="",J17,H17/43560)</f>
        <v>0</v>
      </c>
      <c r="L17" s="418"/>
      <c r="M17" s="418"/>
      <c r="N17" s="144"/>
      <c r="O17" s="274"/>
      <c r="P17" s="252"/>
      <c r="Q17" s="280" t="s">
        <v>1</v>
      </c>
      <c r="R17" s="307">
        <f>IF(R16=0,0,IF(K16=K17+K18,(D16-(0.2*S16))^2/(D16+(0.8*S16)),(D16-(0.2*R16))^2/(D16+(0.8*R16))))</f>
        <v>0</v>
      </c>
      <c r="S17" s="283"/>
      <c r="T17" s="285">
        <f>R17</f>
        <v>0</v>
      </c>
      <c r="U17" s="252" t="s">
        <v>3</v>
      </c>
      <c r="V17" s="44">
        <f>IF(H8="Non-Built Land Use Type Post Development",0,VLOOKUP(H8,'No Edit'!A90:E105,V6+1,0))</f>
        <v>0</v>
      </c>
      <c r="W17" s="44" t="s">
        <v>194</v>
      </c>
      <c r="X17" s="288"/>
      <c r="Y17" s="288"/>
      <c r="Z17" s="289"/>
      <c r="AA17" s="289"/>
      <c r="AB17" s="289"/>
      <c r="AC17" s="6"/>
      <c r="AD17" s="6"/>
    </row>
    <row r="18" spans="2:30" ht="36" customHeight="1">
      <c r="B18" s="18"/>
      <c r="C18" s="214"/>
      <c r="D18" s="107"/>
      <c r="E18" s="108"/>
      <c r="F18" s="215"/>
      <c r="G18" s="187" t="s">
        <v>495</v>
      </c>
      <c r="H18" s="348"/>
      <c r="I18" s="349"/>
      <c r="J18" s="227"/>
      <c r="K18" s="429">
        <f>IF(H18="",J18,H18/43560)</f>
        <v>0</v>
      </c>
      <c r="L18" s="418"/>
      <c r="M18" s="418"/>
      <c r="N18" s="144"/>
      <c r="O18" s="274"/>
      <c r="P18" s="281"/>
      <c r="Q18" s="280" t="s">
        <v>2</v>
      </c>
      <c r="R18" s="285">
        <f>(R17/12)*((K16)*43560)</f>
        <v>0</v>
      </c>
      <c r="S18" s="282"/>
      <c r="T18" s="284">
        <f>R18</f>
        <v>0</v>
      </c>
      <c r="U18" s="281" t="s">
        <v>3</v>
      </c>
      <c r="V18" s="44" t="str">
        <f>IF(V6=0,"",V17)</f>
        <v/>
      </c>
      <c r="W18" s="44"/>
      <c r="X18" s="288"/>
      <c r="Y18" s="288"/>
      <c r="Z18" s="289"/>
      <c r="AA18" s="289"/>
      <c r="AB18" s="289"/>
      <c r="AC18" s="6"/>
      <c r="AD18" s="6"/>
    </row>
    <row r="19" spans="2:30" ht="35.25" customHeight="1">
      <c r="B19" s="18"/>
      <c r="C19" s="216"/>
      <c r="D19" s="108"/>
      <c r="E19" s="108"/>
      <c r="F19" s="215"/>
      <c r="G19" s="187" t="s">
        <v>496</v>
      </c>
      <c r="H19" s="348"/>
      <c r="I19" s="349"/>
      <c r="J19" s="227"/>
      <c r="K19" s="429">
        <f>IF(H19="",J19,H19/43560)</f>
        <v>0</v>
      </c>
      <c r="L19" s="418"/>
      <c r="M19" s="418"/>
      <c r="N19" s="144"/>
      <c r="O19" s="274">
        <f>SUM(K19:M20)</f>
        <v>0</v>
      </c>
      <c r="P19" s="44"/>
      <c r="Q19" s="44"/>
      <c r="R19" s="44"/>
      <c r="S19" s="44"/>
      <c r="T19" s="44"/>
      <c r="U19" s="44"/>
      <c r="V19" s="44"/>
      <c r="W19" s="44"/>
      <c r="X19" s="288"/>
      <c r="Y19" s="288"/>
      <c r="Z19" s="289"/>
      <c r="AA19" s="289"/>
      <c r="AB19" s="289"/>
      <c r="AC19" s="6"/>
      <c r="AD19" s="6"/>
    </row>
    <row r="20" spans="2:30" ht="33" customHeight="1">
      <c r="B20" s="18"/>
      <c r="C20" s="216"/>
      <c r="D20" s="108"/>
      <c r="E20" s="109"/>
      <c r="F20" s="215"/>
      <c r="G20" s="187" t="s">
        <v>497</v>
      </c>
      <c r="H20" s="435"/>
      <c r="I20" s="436"/>
      <c r="J20" s="228"/>
      <c r="K20" s="429">
        <f>IF(H20="",J20,H20/43560)</f>
        <v>0</v>
      </c>
      <c r="L20" s="418"/>
      <c r="M20" s="418"/>
      <c r="N20" s="145"/>
      <c r="O20" s="274">
        <f>'Porous Pavement'!I18</f>
        <v>0</v>
      </c>
      <c r="P20" s="44"/>
      <c r="Q20" s="44"/>
      <c r="R20" s="44"/>
      <c r="S20" s="44"/>
      <c r="T20" s="44"/>
      <c r="U20" s="44"/>
      <c r="V20" s="44"/>
      <c r="W20" s="288"/>
      <c r="X20" s="288"/>
      <c r="Y20" s="292"/>
      <c r="Z20" s="289"/>
      <c r="AA20" s="289"/>
      <c r="AB20" s="6"/>
      <c r="AC20" s="6"/>
      <c r="AD20" s="6"/>
    </row>
    <row r="21" spans="2:30" ht="24" customHeight="1">
      <c r="B21" s="18"/>
      <c r="C21" s="216"/>
      <c r="D21" s="108"/>
      <c r="E21" s="108"/>
      <c r="F21" s="215"/>
      <c r="G21" s="106"/>
      <c r="H21" s="165"/>
      <c r="I21" s="165"/>
      <c r="J21" s="165"/>
      <c r="K21" s="165"/>
      <c r="L21" s="166"/>
      <c r="M21" s="166"/>
      <c r="N21" s="18"/>
      <c r="O21" s="274"/>
      <c r="P21" s="44"/>
      <c r="Q21" s="44"/>
      <c r="R21" s="44"/>
      <c r="S21" s="44"/>
      <c r="T21" s="44"/>
      <c r="U21" s="44"/>
      <c r="V21" s="44"/>
      <c r="W21" s="44"/>
      <c r="X21" s="288"/>
      <c r="Y21" s="288"/>
      <c r="Z21" s="289"/>
      <c r="AA21" s="289"/>
      <c r="AB21" s="289"/>
      <c r="AC21" s="6"/>
      <c r="AD21" s="6"/>
    </row>
    <row r="22" spans="2:30" ht="17.100000000000001" customHeight="1">
      <c r="B22" s="18"/>
      <c r="C22" s="216"/>
      <c r="D22" s="108"/>
      <c r="E22" s="108"/>
      <c r="F22" s="215"/>
      <c r="G22" s="188" t="s">
        <v>62</v>
      </c>
      <c r="H22" s="438" t="s">
        <v>55</v>
      </c>
      <c r="I22" s="437"/>
      <c r="J22" s="437"/>
      <c r="K22" s="437" t="s">
        <v>92</v>
      </c>
      <c r="L22" s="437"/>
      <c r="M22" s="437"/>
      <c r="N22" s="140"/>
      <c r="O22" s="293"/>
      <c r="P22" s="294"/>
      <c r="Q22" s="44"/>
      <c r="R22" s="252"/>
      <c r="S22" s="252"/>
      <c r="T22" s="44"/>
      <c r="U22" s="44"/>
      <c r="V22" s="44"/>
      <c r="W22" s="44"/>
      <c r="X22" s="288"/>
      <c r="Y22" s="288">
        <f>SUM('Porous Pavement'!I18)</f>
        <v>0</v>
      </c>
      <c r="Z22" s="289" t="s">
        <v>5</v>
      </c>
      <c r="AA22" s="289"/>
      <c r="AB22" s="289"/>
      <c r="AC22" s="6"/>
      <c r="AD22" s="6"/>
    </row>
    <row r="23" spans="2:30" ht="16.5" customHeight="1">
      <c r="B23" s="18"/>
      <c r="C23" s="216"/>
      <c r="D23" s="108"/>
      <c r="E23" s="108"/>
      <c r="F23" s="215"/>
      <c r="G23" s="267" t="s">
        <v>42</v>
      </c>
      <c r="H23" s="400">
        <f>IF('Porous Pavement'!J16&gt;K20,"Error, value too high",'Porous Pavement'!J16)</f>
        <v>0</v>
      </c>
      <c r="I23" s="406"/>
      <c r="J23" s="407"/>
      <c r="K23" s="423">
        <f>IF(H23="Error, value too high","",H23*43560)</f>
        <v>0</v>
      </c>
      <c r="L23" s="424"/>
      <c r="M23" s="425"/>
      <c r="N23" s="141"/>
      <c r="O23" s="295"/>
      <c r="P23" s="296"/>
      <c r="Q23" s="44"/>
      <c r="R23" s="44"/>
      <c r="S23" s="44"/>
      <c r="T23" s="44"/>
      <c r="U23" s="44"/>
      <c r="V23" s="44"/>
      <c r="W23" s="44"/>
      <c r="X23" s="288"/>
      <c r="Y23" s="292">
        <f>SUM('Porous Pavement'!J16)</f>
        <v>0</v>
      </c>
      <c r="Z23" s="289" t="s">
        <v>6</v>
      </c>
      <c r="AA23" s="289"/>
      <c r="AB23" s="289"/>
      <c r="AC23" s="6"/>
      <c r="AD23" s="6"/>
    </row>
    <row r="24" spans="2:30" ht="18.75" customHeight="1">
      <c r="B24" s="18"/>
      <c r="C24" s="216"/>
      <c r="D24" s="108"/>
      <c r="E24" s="108"/>
      <c r="F24" s="215"/>
      <c r="G24" s="267" t="s">
        <v>52</v>
      </c>
      <c r="H24" s="426">
        <f>IF('Tree Planting'!J10&gt;K20,"Error, value too high",'Tree Planting'!J10)</f>
        <v>0</v>
      </c>
      <c r="I24" s="426"/>
      <c r="J24" s="426"/>
      <c r="K24" s="423">
        <f t="shared" ref="K24:K30" si="0">IF(H24="Error, value too high","",H24*43560)</f>
        <v>0</v>
      </c>
      <c r="L24" s="424"/>
      <c r="M24" s="425"/>
      <c r="N24" s="142"/>
      <c r="O24" s="293"/>
      <c r="P24" s="297"/>
      <c r="Q24" s="44"/>
      <c r="R24" s="44"/>
      <c r="S24" s="44"/>
      <c r="T24" s="44"/>
      <c r="U24" s="44"/>
      <c r="V24" s="44"/>
      <c r="W24" s="44"/>
      <c r="X24" s="288"/>
      <c r="Y24" s="288"/>
      <c r="Z24" s="289"/>
      <c r="AA24" s="289"/>
      <c r="AB24" s="289"/>
      <c r="AC24" s="6"/>
      <c r="AD24" s="6"/>
    </row>
    <row r="25" spans="2:30" ht="42" customHeight="1">
      <c r="B25" s="18"/>
      <c r="C25" s="217" t="s">
        <v>176</v>
      </c>
      <c r="D25" s="340">
        <f>IF(T18=0,0,T18)</f>
        <v>0</v>
      </c>
      <c r="E25" s="341"/>
      <c r="F25" s="218" t="s">
        <v>74</v>
      </c>
      <c r="G25" s="268" t="s">
        <v>155</v>
      </c>
      <c r="H25" s="426">
        <f>IF('Downspout Disconnection'!K14&lt;4,'Downspout Disconnection'!J12,IF((AND('Downspout Disconnection'!K8&gt;1,'Downspout Disconnection'!K9&lt;2)),'Downspout Disconnection'!J12/2,0))</f>
        <v>0</v>
      </c>
      <c r="I25" s="426"/>
      <c r="J25" s="426"/>
      <c r="K25" s="423">
        <f t="shared" si="0"/>
        <v>0</v>
      </c>
      <c r="L25" s="424"/>
      <c r="M25" s="425"/>
      <c r="N25" s="143"/>
      <c r="O25" s="293"/>
      <c r="P25" s="298"/>
      <c r="Q25" s="44"/>
      <c r="R25" s="44"/>
      <c r="S25" s="44"/>
      <c r="T25" s="44"/>
      <c r="U25" s="44"/>
      <c r="V25" s="44"/>
      <c r="W25" s="44"/>
      <c r="X25" s="44"/>
      <c r="Y25" s="44"/>
      <c r="Z25" s="6"/>
      <c r="AA25" s="6"/>
      <c r="AB25" s="6"/>
      <c r="AC25" s="6"/>
      <c r="AD25" s="6"/>
    </row>
    <row r="26" spans="2:30" ht="52.5" customHeight="1">
      <c r="B26" s="18"/>
      <c r="C26" s="219" t="s">
        <v>76</v>
      </c>
      <c r="D26" s="389">
        <f>IF(H8="Non-Built Land Use Type Post Development",0,IF(D25&gt;D52,0,IF(F53=0,0,D52-D25)))</f>
        <v>0</v>
      </c>
      <c r="E26" s="390"/>
      <c r="F26" s="220" t="s">
        <v>74</v>
      </c>
      <c r="G26" s="268" t="s">
        <v>105</v>
      </c>
      <c r="H26" s="400">
        <f>IF('Impervious Area Disconnection'!I9&gt;3,0,('Impervious Area Disconnection'!I11))</f>
        <v>0</v>
      </c>
      <c r="I26" s="406"/>
      <c r="J26" s="407"/>
      <c r="K26" s="423">
        <f t="shared" si="0"/>
        <v>0</v>
      </c>
      <c r="L26" s="424"/>
      <c r="M26" s="425"/>
      <c r="N26" s="143"/>
      <c r="O26" s="293"/>
      <c r="P26" s="298"/>
      <c r="Q26" s="44"/>
      <c r="R26" s="281">
        <f>D26</f>
        <v>0</v>
      </c>
      <c r="S26" s="44"/>
      <c r="T26" s="44"/>
      <c r="U26" s="44"/>
      <c r="V26" s="44"/>
      <c r="W26" s="44"/>
      <c r="X26" s="44"/>
      <c r="Y26" s="288"/>
      <c r="Z26" s="289"/>
      <c r="AA26" s="6"/>
      <c r="AB26" s="6"/>
      <c r="AC26" s="6"/>
      <c r="AD26" s="6"/>
    </row>
    <row r="27" spans="2:30" ht="15" customHeight="1">
      <c r="B27" s="18"/>
      <c r="C27" s="221"/>
      <c r="D27" s="182"/>
      <c r="E27" s="182"/>
      <c r="F27" s="222"/>
      <c r="G27" s="268" t="s">
        <v>203</v>
      </c>
      <c r="H27" s="426">
        <f>IF(GreenRoofs!I10&lt;4,GreenRoofs!H11,0)</f>
        <v>0</v>
      </c>
      <c r="I27" s="426"/>
      <c r="J27" s="426"/>
      <c r="K27" s="423">
        <f t="shared" si="0"/>
        <v>0</v>
      </c>
      <c r="L27" s="424"/>
      <c r="M27" s="425"/>
      <c r="N27" s="143"/>
      <c r="O27" s="293"/>
      <c r="P27" s="298"/>
      <c r="Q27" s="44"/>
      <c r="R27" s="44"/>
      <c r="S27" s="44"/>
      <c r="T27" s="44"/>
      <c r="U27" s="44"/>
      <c r="V27" s="44"/>
      <c r="W27" s="44"/>
      <c r="X27" s="44"/>
      <c r="Y27" s="288"/>
      <c r="Z27" s="289"/>
      <c r="AA27" s="6"/>
      <c r="AB27" s="6"/>
      <c r="AC27" s="6"/>
      <c r="AD27" s="6"/>
    </row>
    <row r="28" spans="2:30" ht="16.5" customHeight="1">
      <c r="B28" s="18"/>
      <c r="C28" s="221"/>
      <c r="D28" s="182"/>
      <c r="E28" s="182"/>
      <c r="F28" s="222"/>
      <c r="G28" s="268" t="s">
        <v>67</v>
      </c>
      <c r="H28" s="426">
        <f>IF('Stream Buffer'!I11&lt;5,'Stream Buffer'!H12,0)</f>
        <v>0</v>
      </c>
      <c r="I28" s="426"/>
      <c r="J28" s="426"/>
      <c r="K28" s="423">
        <f t="shared" si="0"/>
        <v>0</v>
      </c>
      <c r="L28" s="424"/>
      <c r="M28" s="425"/>
      <c r="N28" s="143"/>
      <c r="O28" s="293"/>
      <c r="P28" s="298"/>
      <c r="Q28" s="297"/>
      <c r="R28" s="297"/>
      <c r="S28" s="44"/>
      <c r="T28" s="44"/>
      <c r="U28" s="44"/>
      <c r="V28" s="44"/>
      <c r="W28" s="44"/>
      <c r="X28" s="44"/>
      <c r="Y28" s="288"/>
      <c r="Z28" s="289"/>
      <c r="AA28" s="6"/>
      <c r="AB28" s="6"/>
      <c r="AC28" s="6"/>
      <c r="AD28" s="6"/>
    </row>
    <row r="29" spans="2:30" ht="26.25" customHeight="1">
      <c r="B29" s="18"/>
      <c r="C29" s="379" t="s">
        <v>77</v>
      </c>
      <c r="D29" s="380">
        <f>IF(OR(D26=0,H37&gt;D26),0,D26-H37)</f>
        <v>0</v>
      </c>
      <c r="E29" s="381"/>
      <c r="F29" s="410" t="s">
        <v>74</v>
      </c>
      <c r="G29" s="268" t="s">
        <v>106</v>
      </c>
      <c r="H29" s="426">
        <f>IF('Vegetated Swale'!J9&lt;3,'Vegetated Swale'!I11,0)</f>
        <v>0</v>
      </c>
      <c r="I29" s="426"/>
      <c r="J29" s="426"/>
      <c r="K29" s="423">
        <f t="shared" si="0"/>
        <v>0</v>
      </c>
      <c r="L29" s="424"/>
      <c r="M29" s="425"/>
      <c r="N29" s="143"/>
      <c r="O29" s="293"/>
      <c r="P29" s="298"/>
      <c r="Q29" s="297"/>
      <c r="R29" s="297"/>
      <c r="S29" s="44"/>
      <c r="T29" s="44"/>
      <c r="U29" s="44"/>
      <c r="V29" s="44"/>
      <c r="W29" s="44"/>
      <c r="X29" s="44"/>
      <c r="Y29" s="288"/>
      <c r="Z29" s="289"/>
      <c r="AA29" s="6"/>
      <c r="AB29" s="6"/>
      <c r="AC29" s="6"/>
      <c r="AD29" s="6"/>
    </row>
    <row r="30" spans="2:30" ht="33" customHeight="1" thickBot="1">
      <c r="B30" s="18"/>
      <c r="C30" s="379"/>
      <c r="D30" s="382"/>
      <c r="E30" s="383"/>
      <c r="F30" s="411"/>
      <c r="G30" s="197" t="s">
        <v>48</v>
      </c>
      <c r="H30" s="451">
        <f>SUM(H23:J29)</f>
        <v>0</v>
      </c>
      <c r="I30" s="451"/>
      <c r="J30" s="451"/>
      <c r="K30" s="423">
        <f t="shared" si="0"/>
        <v>0</v>
      </c>
      <c r="L30" s="424"/>
      <c r="M30" s="425"/>
      <c r="N30" s="143"/>
      <c r="O30" s="293"/>
      <c r="P30" s="298"/>
      <c r="Q30" s="297"/>
      <c r="R30" s="297"/>
      <c r="S30" s="44"/>
      <c r="T30" s="44"/>
      <c r="U30" s="44"/>
      <c r="V30" s="44"/>
      <c r="W30" s="44"/>
      <c r="X30" s="44"/>
      <c r="Y30" s="288"/>
      <c r="Z30" s="289"/>
      <c r="AA30" s="6"/>
      <c r="AB30" s="6"/>
      <c r="AC30" s="6"/>
      <c r="AD30" s="6"/>
    </row>
    <row r="31" spans="2:30" ht="39.75" customHeight="1">
      <c r="B31" s="18"/>
      <c r="C31" s="379"/>
      <c r="D31" s="384"/>
      <c r="E31" s="385"/>
      <c r="F31" s="412"/>
      <c r="G31" s="198" t="s">
        <v>530</v>
      </c>
      <c r="H31" s="419">
        <f>IF(D16="",0,((H30*43560)*(D51)/12))</f>
        <v>0</v>
      </c>
      <c r="I31" s="420"/>
      <c r="J31" s="430" t="s">
        <v>446</v>
      </c>
      <c r="K31" s="431"/>
      <c r="L31" s="431"/>
      <c r="M31" s="432"/>
      <c r="N31" s="143"/>
      <c r="O31" s="293"/>
      <c r="P31" s="298"/>
      <c r="Q31" s="299"/>
      <c r="R31" s="300"/>
      <c r="S31" s="44"/>
      <c r="T31" s="44"/>
      <c r="U31" s="44"/>
      <c r="V31" s="44"/>
      <c r="W31" s="44"/>
      <c r="X31" s="44"/>
      <c r="Y31" s="288"/>
      <c r="Z31" s="289"/>
      <c r="AA31" s="6"/>
      <c r="AB31" s="6"/>
      <c r="AC31" s="6"/>
      <c r="AD31" s="6"/>
    </row>
    <row r="32" spans="2:30" ht="45.75" customHeight="1">
      <c r="B32" s="18"/>
      <c r="C32" s="376" t="str">
        <f>IF(D29&lt;=0,"You have achieved your minimum requirements"," You need to do more impervious area reduction to meet minimum requirements")</f>
        <v>You have achieved your minimum requirements</v>
      </c>
      <c r="D32" s="377"/>
      <c r="E32" s="377"/>
      <c r="F32" s="378"/>
      <c r="G32" s="199"/>
      <c r="H32" s="110"/>
      <c r="I32" s="110"/>
      <c r="J32" s="110"/>
      <c r="K32" s="110"/>
      <c r="L32" s="137"/>
      <c r="M32" s="137"/>
      <c r="N32" s="143"/>
      <c r="O32" s="293"/>
      <c r="P32" s="298"/>
      <c r="Q32" s="299"/>
      <c r="R32" s="300"/>
      <c r="S32" s="44"/>
      <c r="T32" s="44"/>
      <c r="U32" s="44"/>
      <c r="V32" s="44"/>
      <c r="W32" s="44"/>
      <c r="X32" s="44"/>
      <c r="Y32" s="288"/>
      <c r="Z32" s="289"/>
      <c r="AA32" s="6"/>
      <c r="AB32" s="6"/>
      <c r="AC32" s="6"/>
      <c r="AD32" s="6"/>
    </row>
    <row r="33" spans="2:36" ht="42.75" customHeight="1" thickBot="1">
      <c r="B33" s="18"/>
      <c r="C33" s="376"/>
      <c r="D33" s="377"/>
      <c r="E33" s="377"/>
      <c r="F33" s="378"/>
      <c r="G33" s="200" t="s">
        <v>470</v>
      </c>
      <c r="H33" s="433" t="s">
        <v>133</v>
      </c>
      <c r="I33" s="434"/>
      <c r="J33" s="434"/>
      <c r="K33" s="434"/>
      <c r="L33" s="409"/>
      <c r="M33" s="409"/>
      <c r="N33" s="143"/>
      <c r="O33" s="293"/>
      <c r="P33" s="298"/>
      <c r="Q33" s="301"/>
      <c r="R33" s="302"/>
      <c r="S33" s="44"/>
      <c r="T33" s="44"/>
      <c r="U33" s="44"/>
      <c r="V33" s="44"/>
      <c r="W33" s="44"/>
      <c r="X33" s="44"/>
      <c r="Y33" s="44"/>
      <c r="Z33" s="6"/>
      <c r="AA33" s="6"/>
      <c r="AB33" s="6"/>
      <c r="AC33" s="6"/>
      <c r="AD33" s="6"/>
    </row>
    <row r="34" spans="2:36" ht="35.25" customHeight="1" thickTop="1">
      <c r="B34" s="18"/>
      <c r="C34" s="376"/>
      <c r="D34" s="377"/>
      <c r="E34" s="377"/>
      <c r="F34" s="378"/>
      <c r="G34" s="269" t="s">
        <v>107</v>
      </c>
      <c r="H34" s="415">
        <f>'Rain Barrels &amp; Cisterns'!E6</f>
        <v>0</v>
      </c>
      <c r="I34" s="416"/>
      <c r="J34" s="449" t="str">
        <f>IF(H34="","","Cu. Ft.")</f>
        <v>Cu. Ft.</v>
      </c>
      <c r="K34" s="450"/>
      <c r="L34" s="450"/>
      <c r="M34" s="450"/>
      <c r="N34" s="143"/>
      <c r="O34" s="293"/>
      <c r="P34" s="298"/>
      <c r="Q34" s="303"/>
      <c r="R34" s="303"/>
      <c r="S34" s="44"/>
      <c r="T34" s="44"/>
      <c r="U34" s="44"/>
      <c r="V34" s="44"/>
      <c r="W34" s="44"/>
      <c r="X34" s="44"/>
      <c r="Y34" s="44"/>
      <c r="Z34" s="6"/>
      <c r="AA34" s="6"/>
      <c r="AB34" s="6"/>
      <c r="AC34" s="6"/>
      <c r="AD34" s="6"/>
    </row>
    <row r="35" spans="2:36" ht="15" customHeight="1" thickBot="1">
      <c r="B35" s="18"/>
      <c r="C35" s="376"/>
      <c r="D35" s="377"/>
      <c r="E35" s="377"/>
      <c r="F35" s="378"/>
      <c r="G35" s="270" t="s">
        <v>493</v>
      </c>
      <c r="H35" s="421">
        <f>IF('Soil Quality'!J8=1,'Soil Quality'!G15,0)</f>
        <v>0</v>
      </c>
      <c r="I35" s="422"/>
      <c r="J35" s="181" t="str">
        <f>IF(H35="","","Cu. Ft.")</f>
        <v>Cu. Ft.</v>
      </c>
      <c r="K35" s="417"/>
      <c r="L35" s="418"/>
      <c r="M35" s="418"/>
      <c r="N35" s="171"/>
      <c r="O35" s="286"/>
      <c r="P35" s="287"/>
      <c r="Q35" s="287"/>
      <c r="R35" s="287"/>
      <c r="S35" s="304"/>
      <c r="T35" s="304"/>
      <c r="U35" s="304"/>
      <c r="V35" s="304"/>
      <c r="W35" s="304"/>
      <c r="X35" s="304"/>
      <c r="Y35" s="304"/>
      <c r="Z35" s="305"/>
      <c r="AA35" s="305"/>
      <c r="AB35" s="305"/>
      <c r="AC35" s="6"/>
      <c r="AD35" s="6"/>
    </row>
    <row r="36" spans="2:36" ht="35.25" customHeight="1" thickTop="1" thickBot="1">
      <c r="B36" s="18"/>
      <c r="C36" s="376"/>
      <c r="D36" s="377"/>
      <c r="E36" s="377"/>
      <c r="F36" s="378"/>
      <c r="G36" s="176" t="s">
        <v>439</v>
      </c>
      <c r="H36" s="391">
        <f>SUM(H34:I35)</f>
        <v>0</v>
      </c>
      <c r="I36" s="392"/>
      <c r="J36" s="413" t="str">
        <f>IF(H36="","","Cu. Ft.")</f>
        <v>Cu. Ft.</v>
      </c>
      <c r="K36" s="414"/>
      <c r="L36" s="414"/>
      <c r="M36" s="414"/>
      <c r="N36" s="171"/>
      <c r="O36" s="286"/>
      <c r="P36" s="287"/>
      <c r="Q36" s="287"/>
      <c r="R36" s="287"/>
      <c r="S36" s="304"/>
      <c r="T36" s="304"/>
      <c r="U36" s="304"/>
      <c r="V36" s="304"/>
      <c r="W36" s="304"/>
      <c r="X36" s="304"/>
      <c r="Y36" s="304"/>
      <c r="Z36" s="305"/>
      <c r="AA36" s="305"/>
      <c r="AB36" s="305"/>
      <c r="AC36" s="6"/>
      <c r="AD36" s="6"/>
    </row>
    <row r="37" spans="2:36" ht="33.75" customHeight="1" thickTop="1">
      <c r="B37" s="18"/>
      <c r="C37" s="370"/>
      <c r="D37" s="372"/>
      <c r="E37" s="372"/>
      <c r="F37" s="374" t="str">
        <f>IF(E47=0,"",IF(D37&lt;=0,""," Cu.Ft."))</f>
        <v/>
      </c>
      <c r="G37" s="177" t="s">
        <v>310</v>
      </c>
      <c r="H37" s="427">
        <f>H36+H31</f>
        <v>0</v>
      </c>
      <c r="I37" s="428"/>
      <c r="J37" s="408" t="str">
        <f>IF(H37="","","Cu. Ft.")</f>
        <v>Cu. Ft.</v>
      </c>
      <c r="K37" s="409"/>
      <c r="L37" s="409"/>
      <c r="M37" s="409"/>
      <c r="N37" s="171"/>
      <c r="O37" s="286"/>
      <c r="P37" s="287"/>
      <c r="Q37" s="287"/>
      <c r="R37" s="287"/>
      <c r="S37" s="304"/>
      <c r="T37" s="304"/>
      <c r="U37" s="304"/>
      <c r="V37" s="304"/>
      <c r="W37" s="304"/>
      <c r="X37" s="304"/>
      <c r="Y37" s="304"/>
      <c r="Z37" s="305"/>
      <c r="AA37" s="305"/>
      <c r="AB37" s="305"/>
      <c r="AC37" s="6"/>
      <c r="AD37" s="6"/>
    </row>
    <row r="38" spans="2:36" ht="30.75" customHeight="1">
      <c r="B38" s="18"/>
      <c r="C38" s="371"/>
      <c r="D38" s="373"/>
      <c r="E38" s="373"/>
      <c r="F38" s="375"/>
      <c r="G38" s="18"/>
      <c r="H38" s="18"/>
      <c r="I38" s="18"/>
      <c r="J38" s="18"/>
      <c r="K38" s="18"/>
      <c r="L38" s="18"/>
      <c r="M38" s="18"/>
      <c r="N38" s="171"/>
      <c r="O38" s="274"/>
      <c r="P38" s="44"/>
      <c r="Q38" s="44"/>
      <c r="R38" s="44"/>
      <c r="S38" s="44"/>
      <c r="T38" s="44"/>
      <c r="U38" s="44"/>
      <c r="V38" s="44"/>
      <c r="W38" s="44"/>
      <c r="X38" s="44"/>
      <c r="Y38" s="44"/>
      <c r="Z38" s="6"/>
      <c r="AA38" s="6"/>
      <c r="AB38" s="306"/>
      <c r="AC38" s="6"/>
      <c r="AD38" s="6"/>
    </row>
    <row r="39" spans="2:36" ht="15" customHeight="1" thickBot="1">
      <c r="B39" s="18"/>
      <c r="C39" s="178"/>
      <c r="D39" s="179"/>
      <c r="E39" s="179"/>
      <c r="F39" s="180"/>
      <c r="G39" s="329"/>
      <c r="H39" s="18"/>
      <c r="I39" s="18"/>
      <c r="J39" s="18"/>
      <c r="K39" s="18"/>
      <c r="L39" s="18"/>
      <c r="M39" s="18"/>
      <c r="N39" s="18"/>
      <c r="O39" s="274"/>
      <c r="P39" s="44"/>
      <c r="Q39" s="44"/>
      <c r="R39" s="44"/>
      <c r="S39" s="44"/>
      <c r="T39" s="44"/>
      <c r="U39" s="44"/>
      <c r="V39" s="44"/>
      <c r="W39" s="44"/>
      <c r="X39" s="44"/>
      <c r="Y39" s="44"/>
      <c r="Z39" s="6"/>
      <c r="AA39" s="6"/>
      <c r="AB39" s="6"/>
      <c r="AC39" s="6"/>
      <c r="AD39" s="6"/>
    </row>
    <row r="40" spans="2:36" ht="20.25" customHeight="1">
      <c r="D40" s="33">
        <f>IF(D29&lt;=D25,0,"")</f>
        <v>0</v>
      </c>
      <c r="O40" s="274"/>
      <c r="P40" s="44"/>
      <c r="Q40" s="44"/>
      <c r="R40" s="44"/>
      <c r="S40" s="44"/>
      <c r="T40" s="44"/>
      <c r="U40" s="44"/>
      <c r="V40" s="44"/>
      <c r="W40" s="44"/>
      <c r="X40" s="44"/>
      <c r="Y40" s="44"/>
      <c r="Z40" s="6"/>
      <c r="AA40" s="6"/>
      <c r="AB40" s="6"/>
      <c r="AC40" s="6"/>
      <c r="AD40" s="6"/>
    </row>
    <row r="41" spans="2:36" ht="20.25" customHeight="1">
      <c r="O41" s="274"/>
      <c r="P41" s="44"/>
      <c r="Q41" s="44"/>
      <c r="R41" s="44"/>
      <c r="S41" s="43"/>
      <c r="T41" s="44"/>
      <c r="U41" s="44"/>
      <c r="V41" s="44"/>
      <c r="W41" s="44"/>
      <c r="X41" s="44"/>
      <c r="Y41" s="44"/>
      <c r="Z41" s="6"/>
      <c r="AA41" s="6"/>
      <c r="AB41" s="6"/>
      <c r="AC41" s="6"/>
      <c r="AD41" s="6"/>
    </row>
    <row r="42" spans="2:36" ht="20.25" customHeight="1">
      <c r="J42" s="275"/>
      <c r="K42" s="172"/>
      <c r="L42" s="172"/>
      <c r="M42" s="172"/>
      <c r="O42" s="274"/>
      <c r="P42" s="44"/>
      <c r="Q42" s="44"/>
      <c r="R42" s="44"/>
      <c r="S42" s="44"/>
      <c r="T42" s="44"/>
      <c r="U42" s="44"/>
      <c r="V42" s="44"/>
      <c r="W42" s="44"/>
      <c r="X42" s="44"/>
      <c r="Y42" s="44"/>
      <c r="Z42" s="6"/>
      <c r="AA42" s="6"/>
      <c r="AB42" s="6"/>
      <c r="AC42" s="6"/>
      <c r="AD42" s="6"/>
    </row>
    <row r="43" spans="2:36" s="32" customFormat="1" ht="18" customHeight="1">
      <c r="C43" s="12"/>
      <c r="D43" s="6"/>
      <c r="E43" s="6"/>
      <c r="F43" s="6"/>
      <c r="G43" s="44"/>
      <c r="H43" s="44"/>
      <c r="I43" s="44"/>
      <c r="J43" s="174"/>
      <c r="K43" s="174"/>
      <c r="L43" s="174"/>
      <c r="M43" s="174"/>
      <c r="N43" s="172"/>
      <c r="O43" s="274"/>
      <c r="P43" s="44"/>
      <c r="Q43" s="44"/>
      <c r="R43" s="44"/>
      <c r="S43" s="43"/>
      <c r="T43" s="43"/>
      <c r="U43" s="43"/>
      <c r="V43" s="43"/>
      <c r="W43" s="43"/>
      <c r="X43" s="43"/>
      <c r="Y43" s="43"/>
      <c r="Z43" s="13"/>
      <c r="AA43" s="13"/>
      <c r="AB43" s="13"/>
      <c r="AC43" s="13"/>
      <c r="AD43" s="13"/>
      <c r="AE43" s="13"/>
      <c r="AF43" s="13"/>
      <c r="AG43" s="13"/>
      <c r="AH43" s="13"/>
      <c r="AI43" s="13"/>
      <c r="AJ43" s="13"/>
    </row>
    <row r="44" spans="2:36" s="44" customFormat="1" ht="15.75">
      <c r="C44" s="175"/>
      <c r="J44" s="174"/>
      <c r="K44" s="174"/>
      <c r="L44" s="174"/>
      <c r="M44" s="173"/>
      <c r="N44" s="173"/>
      <c r="O44" s="252"/>
    </row>
    <row r="45" spans="2:36" s="44" customFormat="1">
      <c r="C45" s="175"/>
      <c r="N45" s="174"/>
      <c r="O45" s="252"/>
    </row>
    <row r="46" spans="2:36" s="34" customFormat="1" ht="15.75">
      <c r="C46" s="175"/>
      <c r="D46" s="44"/>
      <c r="E46" s="44"/>
      <c r="F46" s="44"/>
      <c r="G46" s="43"/>
      <c r="H46" s="43"/>
      <c r="I46" s="43"/>
      <c r="J46" s="44"/>
      <c r="K46" s="43"/>
      <c r="L46" s="43"/>
      <c r="M46" s="43"/>
      <c r="N46" s="43"/>
      <c r="O46" s="252"/>
      <c r="P46" s="44"/>
      <c r="Q46" s="44"/>
      <c r="R46" s="44"/>
      <c r="S46" s="44"/>
      <c r="T46" s="44"/>
      <c r="U46" s="44"/>
      <c r="V46" s="44"/>
      <c r="W46" s="44"/>
      <c r="X46" s="44"/>
      <c r="Y46" s="44"/>
      <c r="Z46" s="44"/>
      <c r="AA46" s="44"/>
      <c r="AB46" s="44"/>
      <c r="AC46" s="44"/>
      <c r="AD46" s="44"/>
      <c r="AE46" s="44"/>
      <c r="AF46" s="44"/>
      <c r="AG46" s="44"/>
    </row>
    <row r="47" spans="2:36" s="34" customFormat="1" hidden="1">
      <c r="C47" s="175"/>
      <c r="D47" s="44"/>
      <c r="E47" s="44"/>
      <c r="F47" s="44"/>
      <c r="G47" s="44"/>
      <c r="H47" s="44"/>
      <c r="I47" s="44"/>
      <c r="J47" s="44"/>
      <c r="K47" s="44"/>
      <c r="L47" s="44"/>
      <c r="M47" s="44"/>
      <c r="N47" s="44"/>
      <c r="O47" s="252"/>
      <c r="P47" s="44"/>
      <c r="Q47" s="44"/>
      <c r="R47" s="44"/>
      <c r="S47" s="44"/>
      <c r="T47" s="44"/>
      <c r="U47" s="44"/>
      <c r="V47" s="44"/>
      <c r="W47" s="44"/>
      <c r="X47" s="44"/>
      <c r="Y47" s="44"/>
      <c r="Z47" s="44"/>
      <c r="AA47" s="44"/>
      <c r="AB47" s="44"/>
      <c r="AC47" s="44"/>
      <c r="AD47" s="44"/>
      <c r="AE47" s="44"/>
      <c r="AF47" s="44"/>
      <c r="AG47" s="44"/>
    </row>
    <row r="48" spans="2:36" s="34" customFormat="1" ht="31.5" hidden="1">
      <c r="C48" s="276"/>
      <c r="D48" s="276" t="s">
        <v>531</v>
      </c>
      <c r="E48" s="44"/>
      <c r="F48" s="277" t="s">
        <v>538</v>
      </c>
      <c r="G48" s="277"/>
      <c r="H48" s="44"/>
      <c r="I48" s="44"/>
      <c r="J48" s="44"/>
      <c r="K48" s="43"/>
      <c r="L48" s="43"/>
      <c r="M48" s="44"/>
      <c r="N48" s="44"/>
      <c r="O48" s="252"/>
      <c r="P48" s="44"/>
      <c r="Q48" s="44"/>
      <c r="R48" s="44"/>
      <c r="S48" s="44"/>
      <c r="T48" s="44"/>
      <c r="U48" s="44"/>
      <c r="V48" s="44"/>
      <c r="W48" s="44"/>
      <c r="X48" s="44"/>
      <c r="Y48" s="44"/>
      <c r="Z48" s="44"/>
      <c r="AA48" s="44"/>
      <c r="AB48" s="44"/>
      <c r="AC48" s="44"/>
      <c r="AD48" s="44"/>
      <c r="AE48" s="44"/>
      <c r="AF48" s="44"/>
      <c r="AG48" s="44"/>
    </row>
    <row r="49" spans="3:33" s="34" customFormat="1" ht="15.75" hidden="1">
      <c r="C49" s="175" t="s">
        <v>27</v>
      </c>
      <c r="D49" s="278" t="str">
        <f>F12</f>
        <v/>
      </c>
      <c r="E49" s="44"/>
      <c r="F49" s="281" t="str">
        <f>F12</f>
        <v/>
      </c>
      <c r="G49" s="277"/>
      <c r="H49" s="44"/>
      <c r="I49" s="44"/>
      <c r="J49" s="44"/>
      <c r="K49" s="44"/>
      <c r="L49" s="44"/>
      <c r="M49" s="44"/>
      <c r="N49" s="44"/>
      <c r="O49" s="252"/>
      <c r="P49" s="44"/>
      <c r="Q49" s="44"/>
      <c r="R49" s="44"/>
      <c r="S49" s="44"/>
      <c r="T49" s="44"/>
      <c r="U49" s="44"/>
      <c r="V49" s="44"/>
      <c r="W49" s="44"/>
      <c r="X49" s="44"/>
      <c r="Y49" s="44"/>
      <c r="Z49" s="44"/>
      <c r="AA49" s="44"/>
      <c r="AB49" s="44"/>
      <c r="AC49" s="44"/>
      <c r="AD49" s="44"/>
      <c r="AE49" s="44"/>
      <c r="AF49" s="44"/>
      <c r="AG49" s="44"/>
    </row>
    <row r="50" spans="3:33" s="34" customFormat="1" hidden="1">
      <c r="C50" s="175" t="s">
        <v>47</v>
      </c>
      <c r="D50" s="279">
        <f>IF(F11="",0,IF(D49=0,0,(1000/D49)-10))</f>
        <v>0</v>
      </c>
      <c r="E50" s="44"/>
      <c r="F50" s="252">
        <f>IF(F11="",0,IF(D49=0,0,(1000/D49)-10))</f>
        <v>0</v>
      </c>
      <c r="G50" s="44"/>
      <c r="H50" s="44"/>
      <c r="I50" s="44"/>
      <c r="J50" s="44"/>
      <c r="K50" s="44"/>
      <c r="L50" s="44"/>
      <c r="M50" s="44"/>
      <c r="N50" s="44"/>
      <c r="O50" s="252"/>
      <c r="P50" s="44"/>
      <c r="Q50" s="44"/>
      <c r="R50" s="44"/>
      <c r="S50" s="44"/>
      <c r="T50" s="44"/>
      <c r="U50" s="44"/>
      <c r="V50" s="44"/>
      <c r="W50" s="44"/>
      <c r="X50" s="44"/>
      <c r="Y50" s="44"/>
      <c r="Z50" s="44"/>
      <c r="AA50" s="44"/>
      <c r="AB50" s="44"/>
      <c r="AC50" s="44"/>
      <c r="AD50" s="44"/>
      <c r="AE50" s="44"/>
      <c r="AF50" s="44"/>
      <c r="AG50" s="44"/>
    </row>
    <row r="51" spans="3:33" s="34" customFormat="1" ht="19.5" hidden="1">
      <c r="C51" s="280" t="s">
        <v>1</v>
      </c>
      <c r="D51" s="285" t="e">
        <f>IF(F11="",0,(D16-(0.2*D50))^2)/(D16+(0.8*D50))</f>
        <v>#VALUE!</v>
      </c>
      <c r="E51" s="44"/>
      <c r="F51" s="284">
        <f>0.2*F50*1.01</f>
        <v>0</v>
      </c>
      <c r="G51" s="44" t="s">
        <v>539</v>
      </c>
      <c r="H51" s="44"/>
      <c r="I51" s="44"/>
      <c r="J51" s="44"/>
      <c r="K51" s="44"/>
      <c r="L51" s="44"/>
      <c r="M51" s="44"/>
      <c r="N51" s="44"/>
      <c r="O51" s="252"/>
      <c r="P51" s="44"/>
      <c r="Q51" s="44"/>
      <c r="R51" s="44"/>
      <c r="S51" s="44"/>
      <c r="T51" s="44"/>
      <c r="U51" s="44"/>
      <c r="V51" s="44"/>
      <c r="W51" s="44"/>
      <c r="X51" s="44"/>
      <c r="Y51" s="44"/>
      <c r="Z51" s="44"/>
      <c r="AA51" s="44"/>
      <c r="AB51" s="44"/>
      <c r="AC51" s="44"/>
      <c r="AD51" s="44"/>
      <c r="AE51" s="44"/>
      <c r="AF51" s="44"/>
      <c r="AG51" s="44"/>
    </row>
    <row r="52" spans="3:33" s="34" customFormat="1" ht="19.5" hidden="1">
      <c r="C52" s="280" t="s">
        <v>2</v>
      </c>
      <c r="D52" s="282" t="e">
        <f>(D51/12)*K16*43560</f>
        <v>#VALUE!</v>
      </c>
      <c r="E52" s="44"/>
      <c r="F52" s="252" t="str">
        <f>D16</f>
        <v/>
      </c>
      <c r="G52" s="44" t="s">
        <v>541</v>
      </c>
      <c r="H52" s="44"/>
      <c r="I52" s="44"/>
      <c r="J52" s="44"/>
      <c r="K52" s="44"/>
      <c r="L52" s="44"/>
      <c r="M52" s="44"/>
      <c r="N52" s="44"/>
      <c r="O52" s="252"/>
      <c r="P52" s="44"/>
      <c r="Q52" s="44"/>
      <c r="R52" s="44"/>
      <c r="S52" s="44"/>
      <c r="T52" s="44"/>
      <c r="U52" s="44"/>
      <c r="V52" s="44"/>
      <c r="W52" s="44"/>
      <c r="X52" s="44"/>
      <c r="Y52" s="44"/>
      <c r="Z52" s="44"/>
      <c r="AA52" s="44"/>
      <c r="AB52" s="44"/>
      <c r="AC52" s="44"/>
      <c r="AD52" s="44"/>
      <c r="AE52" s="44"/>
      <c r="AF52" s="44"/>
      <c r="AG52" s="44"/>
    </row>
    <row r="53" spans="3:33" s="34" customFormat="1" ht="15.75" hidden="1">
      <c r="C53" s="175"/>
      <c r="D53" s="43"/>
      <c r="E53" s="44"/>
      <c r="F53" s="6">
        <f>IF(F51&gt;=F52, 0, F51)</f>
        <v>0</v>
      </c>
      <c r="G53" s="44" t="s">
        <v>540</v>
      </c>
      <c r="H53" s="44"/>
      <c r="I53" s="44"/>
      <c r="J53" s="44"/>
      <c r="K53" s="44"/>
      <c r="L53" s="44"/>
      <c r="M53" s="44"/>
      <c r="N53" s="44"/>
      <c r="O53" s="252"/>
      <c r="P53" s="44"/>
      <c r="Q53" s="44"/>
      <c r="R53" s="44"/>
      <c r="S53" s="44"/>
      <c r="T53" s="44"/>
      <c r="U53" s="44"/>
      <c r="V53" s="44"/>
      <c r="W53" s="44"/>
      <c r="X53" s="44"/>
      <c r="Y53" s="44"/>
      <c r="Z53" s="44"/>
      <c r="AA53" s="44"/>
      <c r="AB53" s="44"/>
      <c r="AC53" s="44"/>
      <c r="AD53" s="44"/>
      <c r="AE53" s="44"/>
      <c r="AF53" s="44"/>
      <c r="AG53" s="44"/>
    </row>
    <row r="54" spans="3:33" s="34" customFormat="1" hidden="1">
      <c r="C54" s="175"/>
      <c r="D54" s="44"/>
      <c r="E54" s="44"/>
      <c r="F54" s="6"/>
      <c r="G54" s="44"/>
      <c r="H54" s="44"/>
      <c r="I54" s="44"/>
      <c r="J54" s="44"/>
      <c r="K54" s="44"/>
      <c r="L54" s="44"/>
      <c r="M54" s="44"/>
      <c r="N54" s="44"/>
      <c r="O54" s="252"/>
      <c r="P54" s="44"/>
      <c r="Q54" s="44"/>
      <c r="R54" s="44"/>
      <c r="S54" s="44"/>
      <c r="T54" s="44"/>
      <c r="U54" s="44"/>
      <c r="V54" s="44"/>
      <c r="W54" s="44"/>
      <c r="X54" s="44"/>
      <c r="Y54" s="44"/>
      <c r="Z54" s="44"/>
      <c r="AA54" s="44"/>
      <c r="AB54" s="44"/>
      <c r="AC54" s="44"/>
      <c r="AD54" s="44"/>
      <c r="AE54" s="44"/>
      <c r="AF54" s="44"/>
      <c r="AG54" s="44"/>
    </row>
    <row r="55" spans="3:33" s="34" customFormat="1" hidden="1">
      <c r="C55" s="175"/>
      <c r="D55" s="44"/>
      <c r="E55" s="44"/>
      <c r="F55" s="6"/>
      <c r="G55" s="6"/>
      <c r="H55" s="6"/>
      <c r="I55" s="6"/>
      <c r="J55" s="6"/>
      <c r="K55" s="6"/>
      <c r="L55" s="44"/>
      <c r="M55" s="44"/>
      <c r="N55" s="44"/>
      <c r="O55" s="252"/>
      <c r="P55" s="44"/>
      <c r="Q55" s="44"/>
      <c r="R55" s="44"/>
      <c r="S55" s="44"/>
      <c r="T55" s="44"/>
      <c r="U55" s="44"/>
      <c r="V55" s="44"/>
      <c r="W55" s="44"/>
      <c r="X55" s="44"/>
      <c r="Y55" s="44"/>
      <c r="Z55" s="44"/>
      <c r="AA55" s="44"/>
      <c r="AB55" s="44"/>
      <c r="AC55" s="44"/>
      <c r="AD55" s="44"/>
      <c r="AE55" s="44"/>
      <c r="AF55" s="44"/>
      <c r="AG55" s="44"/>
    </row>
    <row r="56" spans="3:33" s="44" customFormat="1">
      <c r="C56" s="175"/>
      <c r="F56" s="6"/>
      <c r="G56" s="6"/>
      <c r="H56" s="6"/>
      <c r="I56" s="6"/>
      <c r="J56" s="6"/>
      <c r="K56" s="6"/>
      <c r="O56" s="252"/>
    </row>
    <row r="57" spans="3:33" s="44" customFormat="1">
      <c r="C57" s="175"/>
      <c r="F57" s="6"/>
      <c r="G57" s="6"/>
      <c r="H57" s="6"/>
      <c r="I57" s="6"/>
      <c r="J57" s="6"/>
      <c r="K57" s="6"/>
      <c r="L57" s="6"/>
      <c r="M57" s="6"/>
      <c r="O57" s="252"/>
    </row>
    <row r="58" spans="3:33">
      <c r="O58" s="274"/>
      <c r="P58" s="44"/>
      <c r="Q58" s="44"/>
      <c r="R58" s="44"/>
      <c r="S58" s="44"/>
      <c r="T58" s="44"/>
      <c r="U58" s="44"/>
      <c r="V58" s="44"/>
      <c r="W58" s="44"/>
      <c r="X58" s="44"/>
      <c r="Y58" s="44"/>
      <c r="Z58" s="6"/>
      <c r="AA58" s="6"/>
      <c r="AB58" s="6"/>
      <c r="AC58" s="6"/>
      <c r="AD58" s="6"/>
    </row>
    <row r="59" spans="3:33">
      <c r="O59" s="274"/>
      <c r="P59" s="44"/>
      <c r="Q59" s="44"/>
      <c r="R59" s="44"/>
      <c r="S59" s="44"/>
      <c r="T59" s="44"/>
      <c r="U59" s="44"/>
      <c r="V59" s="44"/>
      <c r="W59" s="44"/>
      <c r="X59" s="44"/>
      <c r="Y59" s="44"/>
      <c r="Z59" s="6"/>
      <c r="AA59" s="6"/>
      <c r="AB59" s="6"/>
      <c r="AC59" s="6"/>
      <c r="AD59" s="6"/>
    </row>
    <row r="60" spans="3:33">
      <c r="O60" s="274"/>
      <c r="P60" s="44"/>
      <c r="Q60" s="44"/>
      <c r="R60" s="44"/>
      <c r="S60" s="44"/>
      <c r="T60" s="44"/>
      <c r="U60" s="44"/>
      <c r="V60" s="44"/>
      <c r="W60" s="44"/>
      <c r="X60" s="44"/>
      <c r="Y60" s="44"/>
      <c r="Z60" s="6"/>
      <c r="AA60" s="6"/>
      <c r="AB60" s="6"/>
      <c r="AC60" s="6"/>
      <c r="AD60" s="6"/>
    </row>
    <row r="61" spans="3:33">
      <c r="O61" s="274"/>
      <c r="P61" s="44"/>
      <c r="Q61" s="44"/>
      <c r="R61" s="44"/>
      <c r="S61" s="44"/>
      <c r="T61" s="44"/>
      <c r="U61" s="44"/>
      <c r="V61" s="44"/>
      <c r="W61" s="44"/>
      <c r="X61" s="44"/>
      <c r="Y61" s="44"/>
      <c r="Z61" s="6"/>
      <c r="AA61" s="6"/>
      <c r="AB61" s="6"/>
      <c r="AC61" s="6"/>
      <c r="AD61" s="6"/>
    </row>
    <row r="62" spans="3:33">
      <c r="O62" s="274"/>
      <c r="P62" s="44"/>
      <c r="Q62" s="44"/>
      <c r="R62" s="44"/>
      <c r="S62" s="44"/>
      <c r="T62" s="44"/>
      <c r="U62" s="44"/>
      <c r="V62" s="44"/>
      <c r="W62" s="44"/>
      <c r="X62" s="44"/>
      <c r="Y62" s="44"/>
      <c r="Z62" s="6"/>
      <c r="AA62" s="6"/>
      <c r="AB62" s="6"/>
      <c r="AC62" s="6"/>
      <c r="AD62" s="6"/>
    </row>
    <row r="63" spans="3:33">
      <c r="O63" s="274"/>
      <c r="P63" s="44"/>
      <c r="Q63" s="44"/>
      <c r="R63" s="44"/>
      <c r="S63" s="44"/>
      <c r="T63" s="44"/>
      <c r="U63" s="44"/>
      <c r="V63" s="44"/>
      <c r="W63" s="44"/>
      <c r="X63" s="44"/>
      <c r="Y63" s="44"/>
      <c r="Z63" s="6"/>
      <c r="AA63" s="6"/>
    </row>
    <row r="64" spans="3:33">
      <c r="O64" s="274"/>
      <c r="P64" s="44"/>
      <c r="Q64" s="44"/>
      <c r="R64" s="44"/>
      <c r="S64" s="44"/>
      <c r="T64" s="44"/>
      <c r="U64" s="44"/>
      <c r="V64" s="44"/>
      <c r="W64" s="44"/>
      <c r="X64" s="44"/>
      <c r="Y64" s="44"/>
      <c r="Z64" s="6"/>
      <c r="AA64" s="6"/>
    </row>
    <row r="65" spans="15:27">
      <c r="O65" s="274"/>
      <c r="P65" s="44"/>
      <c r="Q65" s="44"/>
      <c r="R65" s="44"/>
      <c r="S65" s="44"/>
      <c r="T65" s="44"/>
      <c r="U65" s="44"/>
      <c r="V65" s="44"/>
      <c r="W65" s="44"/>
      <c r="X65" s="44"/>
      <c r="Y65" s="44"/>
      <c r="Z65" s="6"/>
      <c r="AA65" s="6"/>
    </row>
    <row r="66" spans="15:27">
      <c r="O66" s="274"/>
      <c r="P66" s="44"/>
      <c r="Q66" s="44"/>
      <c r="R66" s="44"/>
      <c r="S66" s="44"/>
      <c r="T66" s="44"/>
      <c r="U66" s="44"/>
      <c r="V66" s="44"/>
      <c r="W66" s="44"/>
      <c r="X66" s="44"/>
      <c r="Y66" s="44"/>
      <c r="Z66" s="6"/>
      <c r="AA66" s="6"/>
    </row>
    <row r="67" spans="15:27">
      <c r="O67" s="274"/>
      <c r="P67" s="44"/>
      <c r="Q67" s="44"/>
      <c r="R67" s="44"/>
      <c r="S67" s="44"/>
      <c r="T67" s="44"/>
      <c r="U67" s="44"/>
      <c r="V67" s="44"/>
      <c r="W67" s="44"/>
      <c r="X67" s="44"/>
      <c r="Y67" s="44"/>
      <c r="Z67" s="6"/>
      <c r="AA67" s="6"/>
    </row>
    <row r="68" spans="15:27">
      <c r="O68" s="274"/>
      <c r="P68" s="44"/>
      <c r="Q68" s="44"/>
      <c r="R68" s="44"/>
      <c r="S68" s="44"/>
      <c r="T68" s="44"/>
      <c r="U68" s="44"/>
      <c r="V68" s="44"/>
      <c r="W68" s="44"/>
      <c r="X68" s="44"/>
      <c r="Y68" s="44"/>
      <c r="Z68" s="6"/>
      <c r="AA68" s="6"/>
    </row>
    <row r="69" spans="15:27">
      <c r="O69" s="274"/>
      <c r="P69" s="44"/>
      <c r="Q69" s="44"/>
      <c r="R69" s="44"/>
      <c r="S69" s="44"/>
      <c r="T69" s="44"/>
      <c r="U69" s="44"/>
      <c r="V69" s="44"/>
      <c r="W69" s="44"/>
      <c r="X69" s="44"/>
      <c r="Y69" s="44"/>
      <c r="Z69" s="6"/>
      <c r="AA69" s="6"/>
    </row>
    <row r="70" spans="15:27">
      <c r="O70" s="274"/>
      <c r="P70" s="44"/>
      <c r="Q70" s="44"/>
      <c r="R70" s="44"/>
      <c r="S70" s="44"/>
      <c r="T70" s="44"/>
      <c r="U70" s="44"/>
      <c r="V70" s="44"/>
      <c r="W70" s="44"/>
      <c r="X70" s="44"/>
      <c r="Y70" s="44"/>
      <c r="Z70" s="6"/>
      <c r="AA70" s="6"/>
    </row>
    <row r="71" spans="15:27">
      <c r="O71" s="274"/>
      <c r="P71" s="44"/>
      <c r="Q71" s="44"/>
      <c r="R71" s="44"/>
      <c r="S71" s="44"/>
      <c r="T71" s="44"/>
      <c r="U71" s="44"/>
      <c r="V71" s="44"/>
      <c r="W71" s="44"/>
      <c r="X71" s="44"/>
      <c r="Y71" s="44"/>
      <c r="Z71" s="6"/>
      <c r="AA71" s="6"/>
    </row>
    <row r="72" spans="15:27">
      <c r="O72" s="274"/>
      <c r="P72" s="44"/>
      <c r="Q72" s="44"/>
      <c r="R72" s="44"/>
      <c r="S72" s="44"/>
      <c r="T72" s="44"/>
      <c r="U72" s="44"/>
      <c r="V72" s="44"/>
      <c r="W72" s="44"/>
      <c r="X72" s="44"/>
      <c r="Y72" s="44"/>
      <c r="Z72" s="6"/>
      <c r="AA72" s="6"/>
    </row>
    <row r="73" spans="15:27">
      <c r="O73" s="274"/>
      <c r="P73" s="44"/>
      <c r="Q73" s="44"/>
      <c r="R73" s="44"/>
      <c r="S73" s="44"/>
      <c r="T73" s="44"/>
      <c r="U73" s="44"/>
      <c r="V73" s="44"/>
      <c r="W73" s="44"/>
      <c r="X73" s="44"/>
      <c r="Y73" s="44"/>
      <c r="Z73" s="6"/>
      <c r="AA73" s="6"/>
    </row>
    <row r="74" spans="15:27">
      <c r="O74" s="274"/>
      <c r="P74" s="44"/>
      <c r="Q74" s="44"/>
      <c r="R74" s="44"/>
      <c r="S74" s="44"/>
      <c r="T74" s="44"/>
      <c r="U74" s="44"/>
      <c r="V74" s="44"/>
      <c r="W74" s="44"/>
      <c r="X74" s="44"/>
      <c r="Y74" s="44"/>
      <c r="Z74" s="6"/>
      <c r="AA74" s="6"/>
    </row>
  </sheetData>
  <sheetProtection formatRows="0"/>
  <protectedRanges>
    <protectedRange sqref="L15" name="Range5"/>
    <protectedRange sqref="B16:B18" name="Range4"/>
    <protectedRange sqref="B13" name="Range3"/>
    <protectedRange sqref="B11" name="Range2"/>
    <protectedRange sqref="B1 D1:D6 B2:C6" name="Range1"/>
    <protectedRange sqref="M16" name="Range5_1"/>
  </protectedRanges>
  <mergeCells count="79">
    <mergeCell ref="J34:M34"/>
    <mergeCell ref="H30:J30"/>
    <mergeCell ref="H29:J29"/>
    <mergeCell ref="H28:J28"/>
    <mergeCell ref="K28:M28"/>
    <mergeCell ref="K29:M29"/>
    <mergeCell ref="K30:M30"/>
    <mergeCell ref="H4:M4"/>
    <mergeCell ref="J6:M6"/>
    <mergeCell ref="G5:M5"/>
    <mergeCell ref="K16:M16"/>
    <mergeCell ref="H16:I16"/>
    <mergeCell ref="H10:I10"/>
    <mergeCell ref="H6:I6"/>
    <mergeCell ref="K20:M20"/>
    <mergeCell ref="H20:I20"/>
    <mergeCell ref="K24:M24"/>
    <mergeCell ref="K17:M17"/>
    <mergeCell ref="K22:M22"/>
    <mergeCell ref="H22:J22"/>
    <mergeCell ref="K23:M23"/>
    <mergeCell ref="K25:M25"/>
    <mergeCell ref="H37:I37"/>
    <mergeCell ref="K18:M18"/>
    <mergeCell ref="K19:M19"/>
    <mergeCell ref="J31:M31"/>
    <mergeCell ref="H33:M33"/>
    <mergeCell ref="H23:J23"/>
    <mergeCell ref="H25:J25"/>
    <mergeCell ref="H24:J24"/>
    <mergeCell ref="K26:M26"/>
    <mergeCell ref="H26:J26"/>
    <mergeCell ref="J37:M37"/>
    <mergeCell ref="F29:F31"/>
    <mergeCell ref="J36:M36"/>
    <mergeCell ref="H34:I34"/>
    <mergeCell ref="K35:M35"/>
    <mergeCell ref="H31:I31"/>
    <mergeCell ref="H35:I35"/>
    <mergeCell ref="K27:M27"/>
    <mergeCell ref="H27:J27"/>
    <mergeCell ref="H36:I36"/>
    <mergeCell ref="B1:N1"/>
    <mergeCell ref="H13:M13"/>
    <mergeCell ref="K10:M10"/>
    <mergeCell ref="K11:M11"/>
    <mergeCell ref="K12:M12"/>
    <mergeCell ref="H7:M7"/>
    <mergeCell ref="C3:C4"/>
    <mergeCell ref="C5:D5"/>
    <mergeCell ref="H3:M3"/>
    <mergeCell ref="D6:F6"/>
    <mergeCell ref="C37:C38"/>
    <mergeCell ref="D37:E38"/>
    <mergeCell ref="F37:F38"/>
    <mergeCell ref="C32:F36"/>
    <mergeCell ref="C29:C31"/>
    <mergeCell ref="D29:E31"/>
    <mergeCell ref="C13:F13"/>
    <mergeCell ref="D26:E26"/>
    <mergeCell ref="D15:E15"/>
    <mergeCell ref="D7:F7"/>
    <mergeCell ref="C10:F10"/>
    <mergeCell ref="H15:J15"/>
    <mergeCell ref="H8:M8"/>
    <mergeCell ref="C11:E11"/>
    <mergeCell ref="H9:J9"/>
    <mergeCell ref="D9:F9"/>
    <mergeCell ref="D8:F8"/>
    <mergeCell ref="K15:M15"/>
    <mergeCell ref="D25:E25"/>
    <mergeCell ref="H12:I12"/>
    <mergeCell ref="C12:E12"/>
    <mergeCell ref="H11:I11"/>
    <mergeCell ref="D14:E14"/>
    <mergeCell ref="D16:E16"/>
    <mergeCell ref="H19:I19"/>
    <mergeCell ref="H18:I18"/>
    <mergeCell ref="H17:I17"/>
  </mergeCells>
  <phoneticPr fontId="0" type="noConversion"/>
  <conditionalFormatting sqref="C32:F36">
    <cfRule type="expression" dxfId="1" priority="1" stopIfTrue="1">
      <formula>$D$40=""</formula>
    </cfRule>
    <cfRule type="expression" dxfId="0" priority="2" stopIfTrue="1">
      <formula>$D$40=0</formula>
    </cfRule>
  </conditionalFormatting>
  <dataValidations xWindow="855" yWindow="589" count="12">
    <dataValidation type="list" showInputMessage="1" showErrorMessage="1" sqref="H4">
      <formula1>OFFSET(COUNTY,MATCH($H$3,CountyColumn,0)-2,1,COUNTIF(CountyColumn,$H$3),1)</formula1>
    </dataValidation>
    <dataValidation type="list" allowBlank="1" showInputMessage="1" showErrorMessage="1" promptTitle="County Selection" prompt="Click on the arrows in the lower right corner of this cell for a list of all California counties. " sqref="H3:M3">
      <formula1>CountyRainList</formula1>
    </dataValidation>
    <dataValidation allowBlank="1" showInputMessage="1" showErrorMessage="1" promptTitle="County Selection" prompt="Click on the arrows in the lower right corner of this cell for a list of all California counties. " sqref="F3"/>
    <dataValidation showInputMessage="1" showErrorMessage="1" sqref="F4"/>
    <dataValidation type="list" allowBlank="1" showInputMessage="1" showErrorMessage="1" promptTitle="Soil Type" prompt="Using the drop-down arrows in the lower right corner, select from the list of possible soil types A, B, C, or D. If you are unsure a summary explanation of each soil type will appear in the green box to the right._x000a_" sqref="H6">
      <formula1>Soils</formula1>
    </dataValidation>
    <dataValidation allowBlank="1" showInputMessage="1" showErrorMessage="1" promptTitle="Total Project Area" prompt="If you do not know the exact acreage for the site you can enter the approximate number of sqare feet in this box and the number of acres will be calculated in the box to the right._x000a__x000a_" sqref="H11:I11"/>
    <dataValidation allowBlank="1" showErrorMessage="1" promptTitle="Impervious Area Reduction " prompt="Click on any of these links under &quot;Impervious Area Reduction Crdits&quot; to go to a calculator to determine eligibility and value of the credit._x000a_" sqref="G24 G26:G29"/>
    <dataValidation allowBlank="1" showInputMessage="1" showErrorMessage="1" promptTitle="Impervious Area Reduction" prompt="Click on any of these links under &quot;Impervious Area Reduction Credits&quot; to go to a calculator to determine eligibility and value of the credit. Credit is given for increasing the  &quot;Lot Coverage&quot;  that is pervious, promotes infiltration, or collection. _x000a_" sqref="G22"/>
    <dataValidation allowBlank="1" showErrorMessage="1" promptTitle="Impervious Area Reduction " prompt="Click on any of these links under &quot;Impervious Area Reduction Crdits&quot; to go to a calculator to determine eligibility and value of the credit. Credit is given to the area of Lot Coverage in Step 7 that is place in some form of infiltration or collection. _x000a_" sqref="G25"/>
    <dataValidation allowBlank="1" showErrorMessage="1" prompt="_x000a_" sqref="G23"/>
    <dataValidation type="list" allowBlank="1" showInputMessage="1" showErrorMessage="1" promptTitle="Existing Land Use Type" prompt="Using the drop-down arrows in the lower right-hand corner select from the 13 land use type that most closely describes the current condition." sqref="H7">
      <formula1>LandU2</formula1>
    </dataValidation>
    <dataValidation type="list" allowBlank="1" showInputMessage="1" showErrorMessage="1" promptTitle="Proposed Land Use Type" prompt="Using the drop-down arrows in the lower right-hand corner select from the 13-land use types that most closely describes the proposed development._x000a_" sqref="H8">
      <formula1>LandU2a</formula1>
    </dataValidation>
  </dataValidations>
  <hyperlinks>
    <hyperlink ref="G25" location="'Downspout Disconnection'!A1" display="Downspout Disconnection"/>
    <hyperlink ref="G26" location="'Impervious Area Disconnection'!A1" display="Impervious Area Disconnection"/>
    <hyperlink ref="G29" location="'Vegetated Swale'!A1" display="Vegetated Swales"/>
    <hyperlink ref="G28" location="'Stream Buffer'!A1" display="Stream Buffer"/>
    <hyperlink ref="C17" r:id="rId1"/>
    <hyperlink ref="G35" location="'Soil Quality'!A1" display="Soil Quality"/>
    <hyperlink ref="G27" location="GreenRoofs!A1" display="Green Roof"/>
    <hyperlink ref="G23" location="'Porous Pavement'!A1" display="Porous Pavement"/>
    <hyperlink ref="G24" location="'Tree Planting'!A1" display="Tree Planting"/>
    <hyperlink ref="G34" location="'Rain Barrels &amp; Cisterns'!A1" display="Rain Barrels/Cisterns"/>
  </hyperlinks>
  <printOptions headings="1" gridLines="1"/>
  <pageMargins left="0.75" right="0.75" top="1" bottom="1" header="0.5" footer="0.5"/>
  <pageSetup scale="34" orientation="landscape" r:id="rId2"/>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indexed="45"/>
  </sheetPr>
  <dimension ref="A1:X86"/>
  <sheetViews>
    <sheetView topLeftCell="A4" zoomScale="125" zoomScaleNormal="72" workbookViewId="0">
      <selection activeCell="A10" sqref="A10"/>
    </sheetView>
  </sheetViews>
  <sheetFormatPr defaultColWidth="8.85546875" defaultRowHeight="12.75"/>
  <cols>
    <col min="1" max="1" width="84.7109375" style="63" customWidth="1"/>
    <col min="2" max="2" width="8.42578125" style="63" hidden="1" customWidth="1"/>
    <col min="3" max="3" width="1.5703125" style="63" hidden="1" customWidth="1"/>
    <col min="4" max="4" width="10.140625" style="63" hidden="1" customWidth="1"/>
    <col min="5" max="5" width="21.28515625" style="63" hidden="1" customWidth="1"/>
    <col min="6" max="6" width="12.28515625" style="63" customWidth="1"/>
    <col min="7" max="7" width="20.85546875" style="257" customWidth="1"/>
    <col min="8" max="8" width="18" style="232" customWidth="1"/>
    <col min="9" max="9" width="9.140625" style="231" hidden="1" customWidth="1"/>
    <col min="10" max="10" width="13.7109375" style="232" hidden="1" customWidth="1"/>
    <col min="11" max="13" width="1.140625" style="232" hidden="1" customWidth="1"/>
    <col min="14" max="16" width="2.7109375" style="232" hidden="1" customWidth="1"/>
    <col min="17" max="17" width="2.7109375" style="232" customWidth="1"/>
    <col min="18" max="24" width="2.7109375" style="167" customWidth="1"/>
    <col min="25" max="30" width="2.7109375" style="14" customWidth="1"/>
    <col min="31" max="16384" width="8.85546875" style="14"/>
  </cols>
  <sheetData>
    <row r="1" spans="1:17" ht="15.75">
      <c r="A1" s="43" t="s">
        <v>134</v>
      </c>
      <c r="B1" s="44"/>
      <c r="C1" s="44"/>
      <c r="D1" s="44"/>
      <c r="E1" s="44"/>
      <c r="F1" s="44"/>
      <c r="G1" s="252"/>
      <c r="H1" s="167"/>
      <c r="I1" s="230"/>
      <c r="J1" s="167"/>
      <c r="K1" s="167"/>
      <c r="L1" s="167"/>
      <c r="M1" s="167"/>
      <c r="N1" s="167"/>
      <c r="O1" s="167"/>
      <c r="P1" s="167"/>
      <c r="Q1" s="167"/>
    </row>
    <row r="2" spans="1:17" ht="17.25" customHeight="1">
      <c r="A2" s="45" t="s">
        <v>46</v>
      </c>
      <c r="B2" s="45"/>
      <c r="C2" s="45"/>
      <c r="D2" s="45"/>
      <c r="E2" s="45"/>
      <c r="F2" s="45"/>
      <c r="G2" s="253"/>
      <c r="H2" s="167"/>
      <c r="I2" s="230"/>
      <c r="J2" s="167"/>
      <c r="K2" s="167"/>
      <c r="L2" s="167"/>
      <c r="M2" s="167"/>
      <c r="N2" s="167"/>
      <c r="O2" s="167"/>
      <c r="P2" s="167"/>
      <c r="Q2" s="167"/>
    </row>
    <row r="3" spans="1:17" ht="15">
      <c r="A3" s="46" t="s">
        <v>149</v>
      </c>
      <c r="B3" s="44"/>
      <c r="C3" s="44"/>
      <c r="D3" s="44"/>
      <c r="E3" s="44"/>
      <c r="F3" s="44"/>
      <c r="G3" s="252"/>
      <c r="H3" s="167"/>
      <c r="I3" s="230"/>
      <c r="J3" s="167"/>
      <c r="K3" s="167"/>
      <c r="L3" s="167"/>
      <c r="M3" s="167"/>
      <c r="N3" s="167"/>
      <c r="O3" s="167"/>
      <c r="P3" s="167"/>
      <c r="Q3" s="167"/>
    </row>
    <row r="4" spans="1:17" ht="15">
      <c r="A4" s="47"/>
      <c r="B4" s="48"/>
      <c r="C4" s="48"/>
      <c r="D4" s="48"/>
      <c r="E4" s="48"/>
      <c r="F4" s="452" t="s">
        <v>95</v>
      </c>
      <c r="G4" s="452"/>
      <c r="H4" s="167"/>
      <c r="I4" s="230"/>
      <c r="J4" s="167"/>
      <c r="K4" s="167"/>
      <c r="L4" s="167"/>
      <c r="M4" s="167"/>
      <c r="N4" s="167"/>
      <c r="O4" s="167"/>
      <c r="P4" s="167"/>
      <c r="Q4" s="167"/>
    </row>
    <row r="5" spans="1:17" ht="15.75">
      <c r="A5" s="49" t="s">
        <v>91</v>
      </c>
      <c r="B5" s="50"/>
      <c r="C5" s="50"/>
      <c r="D5" s="50"/>
      <c r="E5" s="50" t="s">
        <v>150</v>
      </c>
      <c r="F5" s="51" t="s">
        <v>94</v>
      </c>
      <c r="G5" s="254" t="s">
        <v>28</v>
      </c>
      <c r="H5" s="8" t="s">
        <v>65</v>
      </c>
    </row>
    <row r="6" spans="1:17" ht="30.75">
      <c r="A6" s="52" t="s">
        <v>63</v>
      </c>
      <c r="B6" s="53"/>
      <c r="C6" s="53"/>
      <c r="D6" s="53"/>
      <c r="E6" s="54">
        <v>0.45</v>
      </c>
      <c r="F6" s="325"/>
      <c r="G6" s="324"/>
      <c r="H6" s="19">
        <f>IF(F6="",G6,F6/43560)*E6</f>
        <v>0</v>
      </c>
      <c r="I6" s="231">
        <f>IF(F6="",G6,(F6/43560))</f>
        <v>0</v>
      </c>
    </row>
    <row r="7" spans="1:17" ht="30.75">
      <c r="A7" s="52" t="s">
        <v>64</v>
      </c>
      <c r="B7" s="53"/>
      <c r="C7" s="53"/>
      <c r="D7" s="53"/>
      <c r="E7" s="54">
        <v>0.9</v>
      </c>
      <c r="F7" s="325"/>
      <c r="G7" s="324"/>
      <c r="H7" s="19">
        <f t="shared" ref="H7:H17" si="0">IF(F7="",G7,F7/43560)*E7</f>
        <v>0</v>
      </c>
      <c r="I7" s="231">
        <f t="shared" ref="I7:I17" si="1">IF(F7="",G7,(F7/43560))</f>
        <v>0</v>
      </c>
    </row>
    <row r="8" spans="1:17" ht="15.75">
      <c r="A8" s="53" t="s">
        <v>183</v>
      </c>
      <c r="B8" s="53"/>
      <c r="C8" s="53"/>
      <c r="D8" s="53"/>
      <c r="E8" s="54">
        <v>0.3</v>
      </c>
      <c r="F8" s="325"/>
      <c r="G8" s="324"/>
      <c r="H8" s="19">
        <f t="shared" si="0"/>
        <v>0</v>
      </c>
      <c r="I8" s="231">
        <f t="shared" si="1"/>
        <v>0</v>
      </c>
    </row>
    <row r="9" spans="1:17" ht="15.75">
      <c r="A9" s="53" t="s">
        <v>542</v>
      </c>
      <c r="B9" s="53"/>
      <c r="C9" s="53"/>
      <c r="D9" s="53"/>
      <c r="E9" s="54">
        <v>0.6</v>
      </c>
      <c r="F9" s="325"/>
      <c r="G9" s="324"/>
      <c r="H9" s="19">
        <f t="shared" si="0"/>
        <v>0</v>
      </c>
      <c r="I9" s="231">
        <f t="shared" si="1"/>
        <v>0</v>
      </c>
    </row>
    <row r="10" spans="1:17" ht="33.75" customHeight="1">
      <c r="A10" s="52" t="s">
        <v>152</v>
      </c>
      <c r="B10" s="53"/>
      <c r="C10" s="53"/>
      <c r="D10" s="53"/>
      <c r="E10" s="54">
        <v>0.45</v>
      </c>
      <c r="F10" s="325"/>
      <c r="G10" s="324"/>
      <c r="H10" s="19">
        <f t="shared" si="0"/>
        <v>0</v>
      </c>
      <c r="I10" s="231">
        <f t="shared" si="1"/>
        <v>0</v>
      </c>
    </row>
    <row r="11" spans="1:17" ht="33.75" customHeight="1">
      <c r="A11" s="52" t="s">
        <v>336</v>
      </c>
      <c r="B11" s="56"/>
      <c r="C11" s="56">
        <v>0.9</v>
      </c>
      <c r="D11" s="55"/>
      <c r="E11" s="54">
        <v>0.9</v>
      </c>
      <c r="F11" s="325"/>
      <c r="G11" s="324"/>
      <c r="H11" s="19">
        <f t="shared" si="0"/>
        <v>0</v>
      </c>
      <c r="I11" s="231">
        <f t="shared" si="1"/>
        <v>0</v>
      </c>
    </row>
    <row r="12" spans="1:17" ht="30.75">
      <c r="A12" s="57" t="s">
        <v>180</v>
      </c>
      <c r="B12" s="53"/>
      <c r="C12" s="53"/>
      <c r="D12" s="53"/>
      <c r="E12" s="54">
        <f>SUM(0.75/2)</f>
        <v>0.38</v>
      </c>
      <c r="F12" s="325"/>
      <c r="G12" s="324"/>
      <c r="H12" s="19">
        <f t="shared" si="0"/>
        <v>0</v>
      </c>
      <c r="I12" s="231">
        <f t="shared" si="1"/>
        <v>0</v>
      </c>
    </row>
    <row r="13" spans="1:17" ht="30.75">
      <c r="A13" s="58" t="s">
        <v>181</v>
      </c>
      <c r="B13" s="59"/>
      <c r="C13" s="59"/>
      <c r="D13" s="59"/>
      <c r="E13" s="60">
        <v>0.75</v>
      </c>
      <c r="F13" s="325"/>
      <c r="G13" s="324"/>
      <c r="H13" s="19">
        <f t="shared" si="0"/>
        <v>0</v>
      </c>
      <c r="I13" s="231">
        <f t="shared" si="1"/>
        <v>0</v>
      </c>
    </row>
    <row r="14" spans="1:17" ht="33.75" customHeight="1">
      <c r="A14" s="52" t="s">
        <v>201</v>
      </c>
      <c r="B14" s="53"/>
      <c r="C14" s="53"/>
      <c r="D14" s="53"/>
      <c r="E14" s="54">
        <v>0.4</v>
      </c>
      <c r="F14" s="325"/>
      <c r="G14" s="324"/>
      <c r="H14" s="19">
        <f t="shared" si="0"/>
        <v>0</v>
      </c>
      <c r="I14" s="231">
        <f t="shared" si="1"/>
        <v>0</v>
      </c>
    </row>
    <row r="15" spans="1:17" ht="33.75" customHeight="1">
      <c r="A15" s="52" t="s">
        <v>146</v>
      </c>
      <c r="B15" s="53"/>
      <c r="C15" s="53"/>
      <c r="D15" s="53"/>
      <c r="E15" s="54">
        <v>0.6</v>
      </c>
      <c r="F15" s="325"/>
      <c r="G15" s="324"/>
      <c r="H15" s="19">
        <f t="shared" si="0"/>
        <v>0</v>
      </c>
      <c r="I15" s="231">
        <f t="shared" si="1"/>
        <v>0</v>
      </c>
    </row>
    <row r="16" spans="1:17" ht="33.75" customHeight="1">
      <c r="A16" s="52" t="s">
        <v>147</v>
      </c>
      <c r="B16" s="53"/>
      <c r="C16" s="53"/>
      <c r="D16" s="53"/>
      <c r="E16" s="54">
        <v>0.8</v>
      </c>
      <c r="F16" s="325"/>
      <c r="G16" s="324"/>
      <c r="H16" s="19">
        <f>IF(F16="",G16,F16/43560)*E16</f>
        <v>0</v>
      </c>
      <c r="I16" s="231">
        <f t="shared" si="1"/>
        <v>0</v>
      </c>
      <c r="J16" s="231">
        <f>SUM(H6:H17)</f>
        <v>0</v>
      </c>
      <c r="K16" s="231"/>
    </row>
    <row r="17" spans="1:11" ht="33.75" customHeight="1">
      <c r="A17" s="52" t="s">
        <v>148</v>
      </c>
      <c r="B17" s="53"/>
      <c r="C17" s="53"/>
      <c r="D17" s="53"/>
      <c r="E17" s="54">
        <v>1</v>
      </c>
      <c r="F17" s="325"/>
      <c r="G17" s="324"/>
      <c r="H17" s="19">
        <f t="shared" si="0"/>
        <v>0</v>
      </c>
      <c r="I17" s="231">
        <f t="shared" si="1"/>
        <v>0</v>
      </c>
      <c r="K17" s="233"/>
    </row>
    <row r="18" spans="1:11" ht="15">
      <c r="A18" s="326" t="s">
        <v>532</v>
      </c>
      <c r="B18" s="61"/>
      <c r="C18" s="61"/>
      <c r="D18" s="61"/>
      <c r="E18" s="61"/>
      <c r="F18" s="61"/>
      <c r="G18" s="327">
        <f>SUM(G6:G17)</f>
        <v>0</v>
      </c>
      <c r="H18" s="328">
        <f>SUM(H6:H17)</f>
        <v>0</v>
      </c>
      <c r="I18" s="231">
        <f>SUM(I6:I17)</f>
        <v>0</v>
      </c>
    </row>
    <row r="19" spans="1:11">
      <c r="A19" s="62"/>
      <c r="B19" s="62"/>
      <c r="C19" s="62"/>
      <c r="D19" s="62"/>
      <c r="E19" s="62" t="s">
        <v>151</v>
      </c>
      <c r="F19" s="62"/>
      <c r="G19" s="256" t="s">
        <v>53</v>
      </c>
    </row>
    <row r="20" spans="1:11">
      <c r="E20" s="63" t="s">
        <v>99</v>
      </c>
    </row>
    <row r="21" spans="1:11">
      <c r="E21" s="63" t="s">
        <v>338</v>
      </c>
    </row>
    <row r="23" spans="1:11">
      <c r="G23" s="258"/>
    </row>
    <row r="53" spans="1:10" ht="36.950000000000003" customHeight="1"/>
    <row r="54" spans="1:10" ht="41.1" customHeight="1"/>
    <row r="55" spans="1:10" ht="36" customHeight="1">
      <c r="J55" s="232">
        <f>SUM('Tree Planting'!G6:G9)</f>
        <v>0</v>
      </c>
    </row>
    <row r="57" spans="1:10" ht="75" customHeight="1"/>
    <row r="58" spans="1:10" ht="15">
      <c r="A58" s="67"/>
      <c r="B58" s="67"/>
      <c r="C58" s="67"/>
      <c r="D58" s="67"/>
      <c r="E58" s="67"/>
      <c r="F58" s="67"/>
      <c r="G58" s="262"/>
    </row>
    <row r="59" spans="1:10" ht="15">
      <c r="A59" s="67"/>
      <c r="B59" s="67"/>
      <c r="C59" s="67"/>
      <c r="D59" s="67"/>
      <c r="E59" s="67"/>
      <c r="F59" s="67"/>
      <c r="G59" s="262"/>
    </row>
    <row r="60" spans="1:10" ht="15">
      <c r="A60" s="67"/>
      <c r="B60" s="67"/>
      <c r="C60" s="67"/>
      <c r="D60" s="67"/>
      <c r="E60" s="67"/>
      <c r="F60" s="67"/>
      <c r="G60" s="262"/>
    </row>
    <row r="61" spans="1:10" ht="15">
      <c r="A61" s="67"/>
      <c r="B61" s="67"/>
      <c r="C61" s="67"/>
      <c r="D61" s="67"/>
      <c r="E61" s="67"/>
      <c r="F61" s="67"/>
      <c r="G61" s="262"/>
    </row>
    <row r="62" spans="1:10" ht="15">
      <c r="A62" s="67"/>
      <c r="B62" s="67"/>
      <c r="C62" s="67"/>
      <c r="D62" s="67"/>
      <c r="E62" s="67"/>
      <c r="F62" s="67"/>
      <c r="G62" s="262"/>
    </row>
    <row r="63" spans="1:10" ht="15">
      <c r="A63" s="67"/>
      <c r="B63" s="67"/>
      <c r="C63" s="67"/>
      <c r="D63" s="67"/>
      <c r="E63" s="67"/>
      <c r="F63" s="67"/>
      <c r="G63" s="262"/>
    </row>
    <row r="64" spans="1:10" ht="15">
      <c r="A64" s="67"/>
      <c r="B64" s="67"/>
      <c r="C64" s="67"/>
      <c r="D64" s="67"/>
      <c r="E64" s="67"/>
      <c r="F64" s="67"/>
      <c r="G64" s="262"/>
    </row>
    <row r="65" spans="1:7" ht="15">
      <c r="A65" s="67"/>
      <c r="B65" s="67"/>
      <c r="C65" s="67"/>
      <c r="D65" s="67"/>
      <c r="E65" s="67"/>
      <c r="F65" s="67"/>
      <c r="G65" s="262"/>
    </row>
    <row r="66" spans="1:7" ht="15">
      <c r="A66" s="67"/>
      <c r="B66" s="67"/>
      <c r="C66" s="67"/>
      <c r="D66" s="67"/>
      <c r="E66" s="67"/>
      <c r="F66" s="67"/>
      <c r="G66" s="262"/>
    </row>
    <row r="67" spans="1:7" ht="15">
      <c r="A67" s="67"/>
      <c r="B67" s="67"/>
      <c r="C67" s="67"/>
      <c r="D67" s="67"/>
      <c r="E67" s="67"/>
      <c r="F67" s="67"/>
      <c r="G67" s="262"/>
    </row>
    <row r="68" spans="1:7" ht="15">
      <c r="A68" s="67"/>
      <c r="B68" s="67"/>
      <c r="C68" s="67"/>
      <c r="D68" s="67"/>
      <c r="E68" s="67"/>
      <c r="F68" s="67"/>
      <c r="G68" s="262"/>
    </row>
    <row r="69" spans="1:7" ht="15">
      <c r="A69" s="67"/>
      <c r="B69" s="67"/>
      <c r="C69" s="67"/>
      <c r="D69" s="67"/>
      <c r="E69" s="67"/>
      <c r="F69" s="67"/>
      <c r="G69" s="262"/>
    </row>
    <row r="70" spans="1:7" ht="15">
      <c r="A70" s="67"/>
      <c r="B70" s="67"/>
      <c r="C70" s="67"/>
      <c r="D70" s="67"/>
      <c r="E70" s="67"/>
      <c r="F70" s="67"/>
      <c r="G70" s="262"/>
    </row>
    <row r="71" spans="1:7" ht="15">
      <c r="A71" s="67"/>
      <c r="B71" s="67"/>
      <c r="C71" s="67"/>
      <c r="D71" s="67"/>
      <c r="E71" s="67"/>
      <c r="F71" s="67"/>
      <c r="G71" s="262"/>
    </row>
    <row r="72" spans="1:7" ht="15">
      <c r="A72" s="67"/>
      <c r="B72" s="67"/>
      <c r="C72" s="67"/>
      <c r="D72" s="67"/>
      <c r="E72" s="67"/>
      <c r="F72" s="67"/>
      <c r="G72" s="262"/>
    </row>
    <row r="73" spans="1:7" ht="15">
      <c r="A73" s="67"/>
      <c r="B73" s="67"/>
      <c r="C73" s="67"/>
      <c r="D73" s="67"/>
      <c r="E73" s="67"/>
      <c r="F73" s="67"/>
      <c r="G73" s="262"/>
    </row>
    <row r="74" spans="1:7" ht="15">
      <c r="A74" s="67"/>
      <c r="B74" s="67"/>
      <c r="C74" s="67"/>
      <c r="D74" s="67"/>
      <c r="E74" s="67"/>
      <c r="F74" s="67"/>
      <c r="G74" s="262"/>
    </row>
    <row r="75" spans="1:7" ht="15">
      <c r="A75" s="67"/>
      <c r="B75" s="67"/>
      <c r="C75" s="67"/>
      <c r="D75" s="67"/>
      <c r="E75" s="67"/>
      <c r="F75" s="67"/>
      <c r="G75" s="262"/>
    </row>
    <row r="76" spans="1:7" ht="15">
      <c r="A76" s="67"/>
      <c r="B76" s="67"/>
      <c r="C76" s="67"/>
      <c r="D76" s="67"/>
      <c r="E76" s="67"/>
      <c r="F76" s="67"/>
      <c r="G76" s="262"/>
    </row>
    <row r="77" spans="1:7" ht="15">
      <c r="A77" s="67"/>
      <c r="B77" s="67"/>
      <c r="C77" s="67"/>
      <c r="D77" s="67"/>
      <c r="E77" s="67"/>
      <c r="F77" s="67"/>
      <c r="G77" s="262"/>
    </row>
    <row r="78" spans="1:7" ht="15">
      <c r="A78" s="67"/>
      <c r="B78" s="67"/>
      <c r="C78" s="67"/>
      <c r="D78" s="67"/>
      <c r="E78" s="67"/>
      <c r="F78" s="67"/>
      <c r="G78" s="262"/>
    </row>
    <row r="79" spans="1:7" ht="15">
      <c r="A79" s="67"/>
      <c r="B79" s="67"/>
      <c r="C79" s="67"/>
      <c r="D79" s="67"/>
      <c r="E79" s="67"/>
      <c r="F79" s="67"/>
      <c r="G79" s="262"/>
    </row>
    <row r="80" spans="1:7" ht="15">
      <c r="A80" s="67"/>
      <c r="B80" s="67"/>
      <c r="C80" s="67"/>
      <c r="D80" s="67"/>
      <c r="E80" s="67"/>
      <c r="F80" s="67"/>
      <c r="G80" s="262"/>
    </row>
    <row r="81" spans="1:7" ht="15">
      <c r="A81" s="67"/>
      <c r="B81" s="67"/>
      <c r="C81" s="67"/>
      <c r="D81" s="67"/>
      <c r="E81" s="67"/>
      <c r="F81" s="67"/>
      <c r="G81" s="262"/>
    </row>
    <row r="82" spans="1:7" ht="15">
      <c r="A82" s="67"/>
      <c r="B82" s="67"/>
      <c r="C82" s="67"/>
      <c r="D82" s="67"/>
      <c r="E82" s="67"/>
      <c r="F82" s="67"/>
      <c r="G82" s="262"/>
    </row>
    <row r="83" spans="1:7" ht="15">
      <c r="A83" s="67"/>
      <c r="B83" s="67"/>
      <c r="C83" s="67"/>
      <c r="D83" s="67"/>
      <c r="E83" s="67"/>
      <c r="F83" s="67"/>
      <c r="G83" s="262"/>
    </row>
    <row r="84" spans="1:7" ht="15">
      <c r="A84" s="67"/>
      <c r="B84" s="67"/>
      <c r="C84" s="67"/>
      <c r="D84" s="67"/>
      <c r="E84" s="67"/>
      <c r="F84" s="67"/>
      <c r="G84" s="262"/>
    </row>
    <row r="85" spans="1:7" ht="15.75" thickBot="1">
      <c r="A85" s="67"/>
      <c r="B85" s="67"/>
      <c r="C85" s="67"/>
      <c r="D85" s="67"/>
      <c r="E85" s="67"/>
      <c r="F85" s="67"/>
      <c r="G85" s="262"/>
    </row>
    <row r="86" spans="1:7" ht="15">
      <c r="A86" s="453"/>
      <c r="B86" s="453"/>
      <c r="C86" s="453"/>
      <c r="D86" s="453"/>
      <c r="E86" s="453"/>
      <c r="F86" s="453"/>
      <c r="G86" s="255"/>
    </row>
  </sheetData>
  <sheetProtection formatRows="0"/>
  <mergeCells count="2">
    <mergeCell ref="F4:G4"/>
    <mergeCell ref="A86:F86"/>
  </mergeCells>
  <phoneticPr fontId="0" type="noConversion"/>
  <hyperlinks>
    <hyperlink ref="G19" location="'Volume Calculator'!A1" display="Return to Calculator"/>
  </hyperlinks>
  <pageMargins left="0.75" right="0.75" top="1" bottom="1" header="0.5" footer="0.5"/>
  <pageSetup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4"/>
  <sheetViews>
    <sheetView workbookViewId="0">
      <selection activeCell="G9" sqref="G9"/>
    </sheetView>
  </sheetViews>
  <sheetFormatPr defaultRowHeight="12.75"/>
  <cols>
    <col min="1" max="1" width="40.7109375" customWidth="1"/>
    <col min="5" max="5" width="21.42578125" customWidth="1"/>
    <col min="6" max="6" width="18.7109375" customWidth="1"/>
    <col min="7" max="7" width="20.7109375" bestFit="1" customWidth="1"/>
    <col min="10" max="10" width="0" hidden="1" customWidth="1"/>
  </cols>
  <sheetData>
    <row r="1" spans="1:24" ht="15.75">
      <c r="A1" s="43" t="s">
        <v>177</v>
      </c>
      <c r="B1" s="44"/>
      <c r="C1" s="44"/>
      <c r="D1" s="44"/>
      <c r="E1" s="44"/>
      <c r="F1" s="44"/>
      <c r="G1" s="252"/>
    </row>
    <row r="2" spans="1:24" ht="15">
      <c r="A2" s="457" t="s">
        <v>170</v>
      </c>
      <c r="B2" s="457"/>
      <c r="C2" s="457"/>
      <c r="D2" s="457"/>
      <c r="E2" s="457"/>
      <c r="F2" s="457"/>
      <c r="G2" s="457"/>
    </row>
    <row r="3" spans="1:24" ht="15">
      <c r="A3" s="46"/>
      <c r="B3" s="44"/>
      <c r="C3" s="44"/>
      <c r="D3" s="44"/>
      <c r="E3" s="44"/>
      <c r="F3" s="44"/>
      <c r="G3" s="252"/>
    </row>
    <row r="4" spans="1:24" ht="15.75" thickBot="1">
      <c r="A4" s="44"/>
      <c r="B4" s="44"/>
      <c r="C4" s="44"/>
      <c r="D4" s="44"/>
      <c r="E4" s="44"/>
      <c r="F4" s="44"/>
      <c r="G4" s="252"/>
    </row>
    <row r="5" spans="1:24" ht="31.5" thickBot="1">
      <c r="A5" s="64" t="s">
        <v>51</v>
      </c>
      <c r="B5" s="65"/>
      <c r="C5" s="65"/>
      <c r="D5" s="65"/>
      <c r="E5" s="65"/>
      <c r="F5" s="66" t="s">
        <v>96</v>
      </c>
      <c r="G5" s="259" t="s">
        <v>178</v>
      </c>
    </row>
    <row r="6" spans="1:24" ht="15">
      <c r="A6" s="458" t="s">
        <v>498</v>
      </c>
      <c r="B6" s="459"/>
      <c r="C6" s="459"/>
      <c r="D6" s="459"/>
      <c r="E6" s="459"/>
      <c r="F6" s="241"/>
      <c r="G6" s="259">
        <f>IF(F6="",0,F6*0.005)</f>
        <v>0</v>
      </c>
    </row>
    <row r="7" spans="1:24" ht="15">
      <c r="A7" s="458" t="s">
        <v>499</v>
      </c>
      <c r="B7" s="459"/>
      <c r="C7" s="459"/>
      <c r="D7" s="459"/>
      <c r="E7" s="459"/>
      <c r="F7" s="242"/>
      <c r="G7" s="260">
        <f>IF(F7="",0,F7*0.0025)</f>
        <v>0</v>
      </c>
    </row>
    <row r="8" spans="1:24" ht="25.5">
      <c r="A8" s="234"/>
      <c r="B8" s="185"/>
      <c r="C8" s="185"/>
      <c r="D8" s="185"/>
      <c r="E8" s="185"/>
      <c r="F8" s="235" t="s">
        <v>11</v>
      </c>
      <c r="G8" s="260"/>
    </row>
    <row r="9" spans="1:24" ht="54" customHeight="1">
      <c r="A9" s="460" t="s">
        <v>8</v>
      </c>
      <c r="B9" s="461"/>
      <c r="C9" s="461"/>
      <c r="D9" s="461"/>
      <c r="E9" s="461"/>
      <c r="F9" s="243"/>
      <c r="G9" s="260">
        <f>IF(F9="",0,F9*1/43560)</f>
        <v>0</v>
      </c>
    </row>
    <row r="10" spans="1:24" s="14" customFormat="1" ht="49.5" customHeight="1" thickBot="1">
      <c r="A10" s="460" t="s">
        <v>501</v>
      </c>
      <c r="B10" s="466"/>
      <c r="C10" s="466"/>
      <c r="D10" s="466"/>
      <c r="E10" s="466"/>
      <c r="F10" s="244"/>
      <c r="G10" s="260">
        <f>IF(F10="",0,F10*1/43560)</f>
        <v>0</v>
      </c>
      <c r="H10" s="167"/>
      <c r="I10" s="230"/>
      <c r="J10" s="167">
        <f>SUM(G6:G10)</f>
        <v>0</v>
      </c>
      <c r="K10" s="167"/>
      <c r="L10" s="167"/>
      <c r="M10" s="167"/>
      <c r="N10" s="167"/>
      <c r="O10" s="167"/>
      <c r="P10" s="167"/>
      <c r="Q10" s="167"/>
      <c r="R10" s="167"/>
      <c r="S10" s="167"/>
      <c r="T10" s="167"/>
      <c r="U10" s="167"/>
      <c r="V10" s="167"/>
      <c r="W10" s="167"/>
      <c r="X10" s="167"/>
    </row>
    <row r="11" spans="1:24" ht="15">
      <c r="A11" s="462" t="s">
        <v>24</v>
      </c>
      <c r="B11" s="463"/>
      <c r="C11" s="463"/>
      <c r="D11" s="463"/>
      <c r="E11" s="463"/>
      <c r="F11" s="464"/>
      <c r="G11" s="465"/>
    </row>
    <row r="12" spans="1:24" ht="102" customHeight="1" thickBot="1">
      <c r="A12" s="454"/>
      <c r="B12" s="455"/>
      <c r="C12" s="455"/>
      <c r="D12" s="455"/>
      <c r="E12" s="455"/>
      <c r="F12" s="456"/>
    </row>
    <row r="13" spans="1:24">
      <c r="G13" s="261" t="s">
        <v>53</v>
      </c>
    </row>
    <row r="14" spans="1:24">
      <c r="A14" t="s">
        <v>500</v>
      </c>
    </row>
  </sheetData>
  <mergeCells count="7">
    <mergeCell ref="A12:F12"/>
    <mergeCell ref="A2:G2"/>
    <mergeCell ref="A6:E6"/>
    <mergeCell ref="A7:E7"/>
    <mergeCell ref="A9:E9"/>
    <mergeCell ref="A11:G11"/>
    <mergeCell ref="A10:E10"/>
  </mergeCells>
  <phoneticPr fontId="49" type="noConversion"/>
  <hyperlinks>
    <hyperlink ref="G13" location="'Volume Calculator'!A1" display="Return to Calculator"/>
  </hyperlinks>
  <pageMargins left="0.75" right="0.75" top="1" bottom="1" header="0.5" footer="0.5"/>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indexed="45"/>
  </sheetPr>
  <dimension ref="A1:L26"/>
  <sheetViews>
    <sheetView zoomScaleNormal="81" workbookViewId="0">
      <selection activeCell="H12" sqref="H12:I12"/>
    </sheetView>
  </sheetViews>
  <sheetFormatPr defaultRowHeight="15"/>
  <cols>
    <col min="1" max="1" width="31.28515625" style="1" customWidth="1"/>
    <col min="2" max="2" width="12.85546875" style="1" customWidth="1"/>
    <col min="3" max="3" width="7.42578125" style="1" customWidth="1"/>
    <col min="4" max="5" width="9.140625" style="1"/>
    <col min="6" max="6" width="27.42578125" style="1" customWidth="1"/>
    <col min="7" max="7" width="6.140625" style="34" hidden="1" customWidth="1"/>
    <col min="8" max="9" width="9.140625" style="27"/>
    <col min="10" max="10" width="8.85546875" style="263" hidden="1" customWidth="1"/>
    <col min="11" max="11" width="8" style="263" hidden="1" customWidth="1"/>
    <col min="12" max="12" width="6" style="264" hidden="1" customWidth="1"/>
    <col min="13" max="14" width="0" style="1" hidden="1" customWidth="1"/>
    <col min="15" max="16384" width="9.140625" style="1"/>
  </cols>
  <sheetData>
    <row r="1" spans="1:12" ht="15.75">
      <c r="A1" s="2" t="s">
        <v>38</v>
      </c>
    </row>
    <row r="2" spans="1:12" ht="44.25" customHeight="1">
      <c r="A2" s="473" t="s">
        <v>502</v>
      </c>
      <c r="B2" s="473"/>
      <c r="C2" s="473"/>
      <c r="D2" s="473"/>
      <c r="E2" s="473"/>
      <c r="F2" s="473"/>
      <c r="G2" s="35"/>
      <c r="H2" s="41"/>
    </row>
    <row r="3" spans="1:12">
      <c r="A3" s="3"/>
    </row>
    <row r="4" spans="1:12">
      <c r="A4" s="3"/>
    </row>
    <row r="5" spans="1:12" ht="20.100000000000001" customHeight="1">
      <c r="A5" s="475" t="s">
        <v>100</v>
      </c>
      <c r="B5" s="476"/>
      <c r="C5" s="476"/>
      <c r="D5" s="476"/>
      <c r="E5" s="476"/>
      <c r="F5" s="476"/>
      <c r="G5" s="36" t="s">
        <v>49</v>
      </c>
      <c r="H5" s="30"/>
      <c r="I5" s="30"/>
    </row>
    <row r="6" spans="1:12" ht="33.75" customHeight="1">
      <c r="A6" s="474" t="s">
        <v>507</v>
      </c>
      <c r="B6" s="474"/>
      <c r="C6" s="474"/>
      <c r="D6" s="474"/>
      <c r="E6" s="474"/>
      <c r="F6" s="474"/>
      <c r="G6" s="37" t="s">
        <v>50</v>
      </c>
      <c r="H6" s="31"/>
      <c r="I6" s="31"/>
      <c r="K6" s="265">
        <v>2</v>
      </c>
    </row>
    <row r="7" spans="1:12" ht="44.25" customHeight="1">
      <c r="A7" s="474" t="s">
        <v>509</v>
      </c>
      <c r="B7" s="474"/>
      <c r="C7" s="474"/>
      <c r="D7" s="474"/>
      <c r="E7" s="474"/>
      <c r="F7" s="474"/>
      <c r="G7" s="37" t="s">
        <v>50</v>
      </c>
      <c r="H7" s="31"/>
      <c r="I7" s="31"/>
      <c r="K7" s="265">
        <v>2</v>
      </c>
    </row>
    <row r="8" spans="1:12" ht="49.5" customHeight="1">
      <c r="A8" s="474" t="s">
        <v>508</v>
      </c>
      <c r="B8" s="474"/>
      <c r="C8" s="474"/>
      <c r="D8" s="474"/>
      <c r="E8" s="474"/>
      <c r="F8" s="474"/>
      <c r="G8" s="37" t="s">
        <v>50</v>
      </c>
      <c r="H8" s="272"/>
      <c r="I8" s="273"/>
      <c r="K8" s="265">
        <v>2</v>
      </c>
    </row>
    <row r="9" spans="1:12" ht="40.5" customHeight="1">
      <c r="A9" s="470" t="s">
        <v>510</v>
      </c>
      <c r="B9" s="471"/>
      <c r="C9" s="471"/>
      <c r="D9" s="471"/>
      <c r="E9" s="471"/>
      <c r="F9" s="472"/>
      <c r="G9" s="37"/>
      <c r="H9" s="31"/>
      <c r="I9" s="31"/>
      <c r="K9" s="265">
        <v>2</v>
      </c>
    </row>
    <row r="10" spans="1:12" ht="34.5" customHeight="1">
      <c r="A10" s="467"/>
      <c r="B10" s="468"/>
      <c r="C10" s="468"/>
      <c r="D10" s="468"/>
      <c r="E10" s="468"/>
      <c r="F10" s="469"/>
      <c r="G10" s="37"/>
      <c r="H10" s="30"/>
      <c r="I10" s="30"/>
    </row>
    <row r="11" spans="1:12" ht="47.25" customHeight="1">
      <c r="A11" s="482" t="str">
        <f>"Percentage of existing "&amp;'Volume Calculator'!K17&amp;" Acre(s) of rooftop surface that have disconnected downspouts"</f>
        <v>Percentage of existing 0 Acre(s) of rooftop surface that have disconnected downspouts</v>
      </c>
      <c r="B11" s="483"/>
      <c r="C11" s="483"/>
      <c r="D11" s="483"/>
      <c r="E11" s="483"/>
      <c r="F11" s="484"/>
      <c r="G11" s="38">
        <v>0.5</v>
      </c>
      <c r="H11" s="477"/>
      <c r="I11" s="478"/>
      <c r="J11" s="263">
        <f>'Volume Calculator'!K17*(H11/100)</f>
        <v>0</v>
      </c>
      <c r="L11" s="42" t="str">
        <f>IF(H11&gt;0,"%","")</f>
        <v/>
      </c>
    </row>
    <row r="12" spans="1:12" ht="36.75" customHeight="1">
      <c r="A12" s="482" t="str">
        <f>"Percentage of the proposed "&amp;'Volume Calculator'!K19&amp;" Acre(s) of rooftop surface that have disconnected downspouts"</f>
        <v>Percentage of the proposed 0 Acre(s) of rooftop surface that have disconnected downspouts</v>
      </c>
      <c r="B12" s="483"/>
      <c r="C12" s="483"/>
      <c r="D12" s="483"/>
      <c r="E12" s="483"/>
      <c r="F12" s="484"/>
      <c r="G12" s="38">
        <v>0.25</v>
      </c>
      <c r="H12" s="479"/>
      <c r="I12" s="480"/>
      <c r="J12" s="263">
        <f>'Volume Calculator'!K19*(H12/100)</f>
        <v>0</v>
      </c>
      <c r="L12" s="42" t="str">
        <f>IF(H12&gt;0,"%","")</f>
        <v/>
      </c>
    </row>
    <row r="13" spans="1:12" ht="34.5" customHeight="1">
      <c r="A13" s="476"/>
      <c r="B13" s="476"/>
      <c r="C13" s="476"/>
      <c r="D13" s="476"/>
      <c r="E13" s="476"/>
      <c r="F13" s="476"/>
      <c r="G13" s="37"/>
      <c r="H13" s="481" t="s">
        <v>53</v>
      </c>
      <c r="I13" s="481"/>
    </row>
    <row r="14" spans="1:12" ht="30.75" customHeight="1">
      <c r="A14" s="5"/>
      <c r="B14" s="5"/>
      <c r="C14" s="5"/>
      <c r="D14" s="5"/>
      <c r="E14" s="5"/>
      <c r="K14" s="263">
        <f>SUM(K6:K8)</f>
        <v>6</v>
      </c>
    </row>
    <row r="15" spans="1:12" ht="31.5" customHeight="1">
      <c r="A15" s="5"/>
      <c r="B15" s="17"/>
      <c r="C15" s="17"/>
      <c r="D15" s="17"/>
      <c r="E15" s="17"/>
      <c r="F15" s="17"/>
      <c r="G15" s="39"/>
    </row>
    <row r="16" spans="1:12">
      <c r="A16" s="17"/>
      <c r="B16" s="17"/>
      <c r="C16" s="17"/>
      <c r="D16" s="17"/>
      <c r="E16" s="17"/>
      <c r="F16" s="17"/>
      <c r="G16" s="39"/>
    </row>
    <row r="17" spans="1:7" ht="15" customHeight="1">
      <c r="A17" s="17"/>
      <c r="B17" s="17"/>
      <c r="C17" s="17"/>
      <c r="D17" s="17"/>
      <c r="E17" s="17"/>
      <c r="F17" s="17"/>
      <c r="G17" s="39"/>
    </row>
    <row r="18" spans="1:7">
      <c r="A18" s="17"/>
      <c r="B18" s="17"/>
      <c r="C18" s="17"/>
      <c r="D18" s="17"/>
      <c r="E18" s="17"/>
      <c r="F18" s="17"/>
      <c r="G18" s="39"/>
    </row>
    <row r="19" spans="1:7">
      <c r="A19" s="17"/>
      <c r="B19" s="17"/>
      <c r="C19" s="17"/>
      <c r="D19" s="17"/>
      <c r="E19" s="17"/>
      <c r="F19" s="17"/>
      <c r="G19" s="39"/>
    </row>
    <row r="20" spans="1:7" ht="15.75" customHeight="1">
      <c r="A20" s="17"/>
      <c r="B20" s="17"/>
      <c r="C20" s="17"/>
      <c r="D20" s="17"/>
      <c r="E20" s="17"/>
      <c r="F20" s="17"/>
      <c r="G20" s="39"/>
    </row>
    <row r="21" spans="1:7" ht="15" customHeight="1">
      <c r="A21" s="17"/>
      <c r="B21" s="17"/>
      <c r="C21" s="17"/>
      <c r="D21" s="17"/>
      <c r="E21" s="17"/>
      <c r="F21" s="17"/>
      <c r="G21" s="39"/>
    </row>
    <row r="22" spans="1:7" ht="15" customHeight="1">
      <c r="A22" s="17"/>
      <c r="B22" s="17"/>
      <c r="C22" s="17"/>
      <c r="D22" s="17"/>
      <c r="E22" s="17"/>
      <c r="F22" s="17"/>
    </row>
    <row r="23" spans="1:7" ht="15.75" customHeight="1">
      <c r="A23" s="17"/>
      <c r="B23" s="17"/>
      <c r="C23" s="17"/>
      <c r="D23" s="17"/>
      <c r="E23" s="17"/>
      <c r="F23" s="17"/>
    </row>
    <row r="24" spans="1:7">
      <c r="A24" s="17"/>
      <c r="B24" s="17"/>
      <c r="C24" s="17"/>
      <c r="D24" s="17"/>
      <c r="E24" s="17"/>
      <c r="F24" s="17"/>
    </row>
    <row r="26" spans="1:7">
      <c r="G26" s="40" t="s">
        <v>75</v>
      </c>
    </row>
  </sheetData>
  <sheetProtection formatCells="0" formatRows="0"/>
  <mergeCells count="13">
    <mergeCell ref="A13:F13"/>
    <mergeCell ref="H11:I11"/>
    <mergeCell ref="H12:I12"/>
    <mergeCell ref="H13:I13"/>
    <mergeCell ref="A11:F11"/>
    <mergeCell ref="A12:F12"/>
    <mergeCell ref="A10:F10"/>
    <mergeCell ref="A9:F9"/>
    <mergeCell ref="A2:F2"/>
    <mergeCell ref="A8:F8"/>
    <mergeCell ref="A5:F5"/>
    <mergeCell ref="A6:F6"/>
    <mergeCell ref="A7:F7"/>
  </mergeCells>
  <phoneticPr fontId="0" type="noConversion"/>
  <hyperlinks>
    <hyperlink ref="H13" location="'Volume Calculator'!G25" display="Return to Calculator"/>
    <hyperlink ref="G26" location="G25" display="G25"/>
  </hyperlinks>
  <pageMargins left="0.75" right="0.75" top="1" bottom="1" header="0.5" footer="0.5"/>
  <pageSetup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097" r:id="rId4" name="Option Button 1">
              <controlPr defaultSize="0" autoFill="0" autoLine="0" autoPict="0">
                <anchor moveWithCells="1">
                  <from>
                    <xdr:col>7</xdr:col>
                    <xdr:colOff>0</xdr:colOff>
                    <xdr:row>5</xdr:row>
                    <xdr:rowOff>0</xdr:rowOff>
                  </from>
                  <to>
                    <xdr:col>8</xdr:col>
                    <xdr:colOff>0</xdr:colOff>
                    <xdr:row>6</xdr:row>
                    <xdr:rowOff>0</xdr:rowOff>
                  </to>
                </anchor>
              </controlPr>
            </control>
          </mc:Choice>
        </mc:AlternateContent>
        <mc:AlternateContent xmlns:mc="http://schemas.openxmlformats.org/markup-compatibility/2006">
          <mc:Choice Requires="x14">
            <control shapeId="4098" r:id="rId5" name="Option Button 2">
              <controlPr defaultSize="0" autoFill="0" autoLine="0" autoPict="0">
                <anchor moveWithCells="1">
                  <from>
                    <xdr:col>7</xdr:col>
                    <xdr:colOff>0</xdr:colOff>
                    <xdr:row>6</xdr:row>
                    <xdr:rowOff>66675</xdr:rowOff>
                  </from>
                  <to>
                    <xdr:col>8</xdr:col>
                    <xdr:colOff>0</xdr:colOff>
                    <xdr:row>6</xdr:row>
                    <xdr:rowOff>485775</xdr:rowOff>
                  </to>
                </anchor>
              </controlPr>
            </control>
          </mc:Choice>
        </mc:AlternateContent>
        <mc:AlternateContent xmlns:mc="http://schemas.openxmlformats.org/markup-compatibility/2006">
          <mc:Choice Requires="x14">
            <control shapeId="4099" r:id="rId6" name="Option Button 3">
              <controlPr defaultSize="0" autoFill="0" autoLine="0" autoPict="0">
                <anchor moveWithCells="1">
                  <from>
                    <xdr:col>7</xdr:col>
                    <xdr:colOff>0</xdr:colOff>
                    <xdr:row>7</xdr:row>
                    <xdr:rowOff>0</xdr:rowOff>
                  </from>
                  <to>
                    <xdr:col>8</xdr:col>
                    <xdr:colOff>0</xdr:colOff>
                    <xdr:row>7</xdr:row>
                    <xdr:rowOff>419100</xdr:rowOff>
                  </to>
                </anchor>
              </controlPr>
            </control>
          </mc:Choice>
        </mc:AlternateContent>
        <mc:AlternateContent xmlns:mc="http://schemas.openxmlformats.org/markup-compatibility/2006">
          <mc:Choice Requires="x14">
            <control shapeId="4100" r:id="rId7" name="Option Button 4">
              <controlPr defaultSize="0" autoFill="0" autoLine="0" autoPict="0">
                <anchor moveWithCells="1">
                  <from>
                    <xdr:col>8</xdr:col>
                    <xdr:colOff>0</xdr:colOff>
                    <xdr:row>5</xdr:row>
                    <xdr:rowOff>9525</xdr:rowOff>
                  </from>
                  <to>
                    <xdr:col>9</xdr:col>
                    <xdr:colOff>0</xdr:colOff>
                    <xdr:row>5</xdr:row>
                    <xdr:rowOff>409575</xdr:rowOff>
                  </to>
                </anchor>
              </controlPr>
            </control>
          </mc:Choice>
        </mc:AlternateContent>
        <mc:AlternateContent xmlns:mc="http://schemas.openxmlformats.org/markup-compatibility/2006">
          <mc:Choice Requires="x14">
            <control shapeId="4101" r:id="rId8" name="Option Button 5">
              <controlPr defaultSize="0" autoFill="0" autoLine="0" autoPict="0">
                <anchor moveWithCells="1">
                  <from>
                    <xdr:col>8</xdr:col>
                    <xdr:colOff>0</xdr:colOff>
                    <xdr:row>6</xdr:row>
                    <xdr:rowOff>85725</xdr:rowOff>
                  </from>
                  <to>
                    <xdr:col>9</xdr:col>
                    <xdr:colOff>0</xdr:colOff>
                    <xdr:row>6</xdr:row>
                    <xdr:rowOff>485775</xdr:rowOff>
                  </to>
                </anchor>
              </controlPr>
            </control>
          </mc:Choice>
        </mc:AlternateContent>
        <mc:AlternateContent xmlns:mc="http://schemas.openxmlformats.org/markup-compatibility/2006">
          <mc:Choice Requires="x14">
            <control shapeId="4102" r:id="rId9" name="Option Button 6">
              <controlPr defaultSize="0" autoFill="0" autoLine="0" autoPict="0">
                <anchor moveWithCells="1">
                  <from>
                    <xdr:col>8</xdr:col>
                    <xdr:colOff>0</xdr:colOff>
                    <xdr:row>7</xdr:row>
                    <xdr:rowOff>9525</xdr:rowOff>
                  </from>
                  <to>
                    <xdr:col>9</xdr:col>
                    <xdr:colOff>0</xdr:colOff>
                    <xdr:row>7</xdr:row>
                    <xdr:rowOff>409575</xdr:rowOff>
                  </to>
                </anchor>
              </controlPr>
            </control>
          </mc:Choice>
        </mc:AlternateContent>
        <mc:AlternateContent xmlns:mc="http://schemas.openxmlformats.org/markup-compatibility/2006">
          <mc:Choice Requires="x14">
            <control shapeId="4103" r:id="rId10" name="Group Box 7">
              <controlPr defaultSize="0" autoFill="0" autoPict="0">
                <anchor moveWithCells="1">
                  <from>
                    <xdr:col>7</xdr:col>
                    <xdr:colOff>0</xdr:colOff>
                    <xdr:row>5</xdr:row>
                    <xdr:rowOff>0</xdr:rowOff>
                  </from>
                  <to>
                    <xdr:col>9</xdr:col>
                    <xdr:colOff>0</xdr:colOff>
                    <xdr:row>6</xdr:row>
                    <xdr:rowOff>0</xdr:rowOff>
                  </to>
                </anchor>
              </controlPr>
            </control>
          </mc:Choice>
        </mc:AlternateContent>
        <mc:AlternateContent xmlns:mc="http://schemas.openxmlformats.org/markup-compatibility/2006">
          <mc:Choice Requires="x14">
            <control shapeId="4105" r:id="rId11" name="Group Box 9">
              <controlPr defaultSize="0" autoFill="0" autoPict="0">
                <anchor moveWithCells="1">
                  <from>
                    <xdr:col>7</xdr:col>
                    <xdr:colOff>0</xdr:colOff>
                    <xdr:row>6</xdr:row>
                    <xdr:rowOff>0</xdr:rowOff>
                  </from>
                  <to>
                    <xdr:col>9</xdr:col>
                    <xdr:colOff>0</xdr:colOff>
                    <xdr:row>7</xdr:row>
                    <xdr:rowOff>0</xdr:rowOff>
                  </to>
                </anchor>
              </controlPr>
            </control>
          </mc:Choice>
        </mc:AlternateContent>
        <mc:AlternateContent xmlns:mc="http://schemas.openxmlformats.org/markup-compatibility/2006">
          <mc:Choice Requires="x14">
            <control shapeId="4106" r:id="rId12" name="Group Box 10">
              <controlPr defaultSize="0" autoFill="0" autoPict="0">
                <anchor moveWithCells="1">
                  <from>
                    <xdr:col>7</xdr:col>
                    <xdr:colOff>0</xdr:colOff>
                    <xdr:row>7</xdr:row>
                    <xdr:rowOff>0</xdr:rowOff>
                  </from>
                  <to>
                    <xdr:col>9</xdr:col>
                    <xdr:colOff>0</xdr:colOff>
                    <xdr:row>7</xdr:row>
                    <xdr:rowOff>619125</xdr:rowOff>
                  </to>
                </anchor>
              </controlPr>
            </control>
          </mc:Choice>
        </mc:AlternateContent>
        <mc:AlternateContent xmlns:mc="http://schemas.openxmlformats.org/markup-compatibility/2006">
          <mc:Choice Requires="x14">
            <control shapeId="4107" r:id="rId13" name="Option Button 11">
              <controlPr defaultSize="0" autoFill="0" autoLine="0" autoPict="0">
                <anchor moveWithCells="1">
                  <from>
                    <xdr:col>7</xdr:col>
                    <xdr:colOff>47625</xdr:colOff>
                    <xdr:row>8</xdr:row>
                    <xdr:rowOff>38100</xdr:rowOff>
                  </from>
                  <to>
                    <xdr:col>7</xdr:col>
                    <xdr:colOff>590550</xdr:colOff>
                    <xdr:row>8</xdr:row>
                    <xdr:rowOff>419100</xdr:rowOff>
                  </to>
                </anchor>
              </controlPr>
            </control>
          </mc:Choice>
        </mc:AlternateContent>
        <mc:AlternateContent xmlns:mc="http://schemas.openxmlformats.org/markup-compatibility/2006">
          <mc:Choice Requires="x14">
            <control shapeId="4108" r:id="rId14" name="Option Button 12">
              <controlPr defaultSize="0" autoFill="0" autoLine="0" autoPict="0">
                <anchor moveWithCells="1">
                  <from>
                    <xdr:col>8</xdr:col>
                    <xdr:colOff>9525</xdr:colOff>
                    <xdr:row>8</xdr:row>
                    <xdr:rowOff>47625</xdr:rowOff>
                  </from>
                  <to>
                    <xdr:col>8</xdr:col>
                    <xdr:colOff>552450</xdr:colOff>
                    <xdr:row>8</xdr:row>
                    <xdr:rowOff>400050</xdr:rowOff>
                  </to>
                </anchor>
              </controlPr>
            </control>
          </mc:Choice>
        </mc:AlternateContent>
        <mc:AlternateContent xmlns:mc="http://schemas.openxmlformats.org/markup-compatibility/2006">
          <mc:Choice Requires="x14">
            <control shapeId="4109" r:id="rId15" name="Group Box 13">
              <controlPr defaultSize="0" autoFill="0" autoPict="0">
                <anchor moveWithCells="1">
                  <from>
                    <xdr:col>5</xdr:col>
                    <xdr:colOff>1819275</xdr:colOff>
                    <xdr:row>8</xdr:row>
                    <xdr:rowOff>0</xdr:rowOff>
                  </from>
                  <to>
                    <xdr:col>8</xdr:col>
                    <xdr:colOff>600075</xdr:colOff>
                    <xdr:row>8</xdr:row>
                    <xdr:rowOff>504825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indexed="45"/>
  </sheetPr>
  <dimension ref="A1:J16"/>
  <sheetViews>
    <sheetView workbookViewId="0">
      <selection activeCell="G12" sqref="G12"/>
    </sheetView>
  </sheetViews>
  <sheetFormatPr defaultRowHeight="15"/>
  <cols>
    <col min="1" max="1" width="26.42578125" style="44" customWidth="1"/>
    <col min="2" max="5" width="9.140625" style="44"/>
    <col min="6" max="6" width="22.42578125" style="44" customWidth="1"/>
    <col min="7" max="7" width="27" style="44" customWidth="1"/>
    <col min="8" max="8" width="9.140625" style="44"/>
    <col min="9" max="9" width="9.7109375" style="44" hidden="1" customWidth="1"/>
    <col min="10" max="10" width="12.85546875" style="44" hidden="1" customWidth="1"/>
    <col min="11" max="16384" width="9.140625" style="1"/>
  </cols>
  <sheetData>
    <row r="1" spans="1:10" ht="15.75">
      <c r="A1" s="43" t="s">
        <v>41</v>
      </c>
    </row>
    <row r="2" spans="1:10" ht="47.25" customHeight="1">
      <c r="A2" s="489" t="s">
        <v>504</v>
      </c>
      <c r="B2" s="489"/>
      <c r="C2" s="489"/>
      <c r="D2" s="489"/>
      <c r="E2" s="489"/>
      <c r="F2" s="489"/>
      <c r="G2" s="489"/>
    </row>
    <row r="3" spans="1:10" ht="17.25" customHeight="1">
      <c r="A3" s="78"/>
      <c r="B3" s="175"/>
      <c r="C3" s="175"/>
      <c r="D3" s="175"/>
      <c r="E3" s="175"/>
      <c r="F3" s="175"/>
      <c r="G3" s="175"/>
    </row>
    <row r="5" spans="1:10" ht="21" customHeight="1" thickBot="1">
      <c r="A5" s="490" t="s">
        <v>44</v>
      </c>
      <c r="B5" s="491"/>
      <c r="C5" s="491"/>
      <c r="D5" s="491"/>
      <c r="E5" s="491"/>
      <c r="F5" s="491"/>
      <c r="G5" s="79" t="s">
        <v>49</v>
      </c>
    </row>
    <row r="6" spans="1:10" ht="55.5" customHeight="1">
      <c r="A6" s="492" t="s">
        <v>511</v>
      </c>
      <c r="B6" s="493"/>
      <c r="C6" s="493"/>
      <c r="D6" s="493"/>
      <c r="E6" s="493"/>
      <c r="F6" s="493"/>
      <c r="G6" s="85"/>
      <c r="I6" s="266">
        <v>2</v>
      </c>
    </row>
    <row r="7" spans="1:10" ht="68.25" customHeight="1" thickBot="1">
      <c r="A7" s="494" t="s">
        <v>512</v>
      </c>
      <c r="B7" s="495"/>
      <c r="C7" s="495"/>
      <c r="D7" s="495"/>
      <c r="E7" s="495"/>
      <c r="F7" s="496"/>
      <c r="G7" s="85"/>
      <c r="I7" s="266">
        <v>2</v>
      </c>
    </row>
    <row r="8" spans="1:10" ht="40.5" customHeight="1">
      <c r="A8" s="485" t="s">
        <v>513</v>
      </c>
      <c r="B8" s="486"/>
      <c r="C8" s="486"/>
      <c r="D8" s="486"/>
      <c r="E8" s="486"/>
      <c r="F8" s="487"/>
      <c r="G8" s="85"/>
      <c r="I8" s="266">
        <v>2</v>
      </c>
    </row>
    <row r="9" spans="1:10" ht="29.1" customHeight="1">
      <c r="A9" s="61"/>
      <c r="B9" s="61"/>
      <c r="C9" s="61"/>
      <c r="D9" s="61"/>
      <c r="E9" s="61"/>
      <c r="F9" s="61"/>
      <c r="G9" s="84"/>
      <c r="I9" s="44">
        <f>SUM(I6:I8)</f>
        <v>6</v>
      </c>
    </row>
    <row r="10" spans="1:10" ht="29.1" customHeight="1">
      <c r="A10" s="488" t="str">
        <f>"Percentage of existing "&amp;'Volume Calculator'!K18&amp;" Acre(s) of non-rooftop surface area disconnected"</f>
        <v>Percentage of existing 0 Acre(s) of non-rooftop surface area disconnected</v>
      </c>
      <c r="B10" s="483"/>
      <c r="C10" s="483"/>
      <c r="D10" s="483"/>
      <c r="E10" s="483"/>
      <c r="F10" s="484"/>
      <c r="G10" s="250"/>
      <c r="H10" s="81"/>
      <c r="I10" s="252">
        <f>(G10/100)*'Volume Calculator'!K18</f>
        <v>0</v>
      </c>
      <c r="J10" s="81" t="str">
        <f>IF(G10&gt;0,"%","")</f>
        <v/>
      </c>
    </row>
    <row r="11" spans="1:10" ht="27.75" customHeight="1">
      <c r="A11" s="488" t="str">
        <f>"Percentage of the proposed "&amp;'Volume Calculator'!K20&amp;" Acre(s) of non-rooftop surface area disconnected"</f>
        <v>Percentage of the proposed 0 Acre(s) of non-rooftop surface area disconnected</v>
      </c>
      <c r="B11" s="483"/>
      <c r="C11" s="483"/>
      <c r="D11" s="483"/>
      <c r="E11" s="483"/>
      <c r="F11" s="484"/>
      <c r="G11" s="251"/>
      <c r="H11" s="81" t="str">
        <f>IF(G11&gt;0,"%","")</f>
        <v/>
      </c>
      <c r="I11" s="44">
        <f>(G11/100)*'Volume Calculator'!K20</f>
        <v>0</v>
      </c>
      <c r="J11" s="81" t="b">
        <f>IF(G11&gt;0,"")</f>
        <v>0</v>
      </c>
    </row>
    <row r="12" spans="1:10">
      <c r="A12" s="61"/>
      <c r="B12" s="61"/>
      <c r="C12" s="61"/>
      <c r="D12" s="61"/>
      <c r="E12" s="61"/>
      <c r="F12" s="61"/>
      <c r="G12" s="50"/>
    </row>
    <row r="13" spans="1:10">
      <c r="A13" s="61"/>
      <c r="B13" s="61"/>
      <c r="C13" s="61"/>
      <c r="D13" s="61"/>
      <c r="E13" s="61"/>
      <c r="F13" s="61"/>
      <c r="G13" s="136" t="s">
        <v>53</v>
      </c>
      <c r="H13"/>
    </row>
    <row r="14" spans="1:10">
      <c r="A14" s="61"/>
      <c r="B14" s="61"/>
      <c r="C14" s="61"/>
      <c r="D14" s="61"/>
      <c r="E14" s="61"/>
      <c r="F14" s="61"/>
      <c r="G14" s="50"/>
    </row>
    <row r="15" spans="1:10">
      <c r="A15" s="61"/>
      <c r="B15" s="61"/>
      <c r="C15" s="61"/>
      <c r="D15" s="61"/>
      <c r="E15" s="61"/>
      <c r="F15" s="61"/>
      <c r="G15" s="50"/>
    </row>
    <row r="16" spans="1:10">
      <c r="A16" s="61"/>
      <c r="B16" s="61"/>
      <c r="C16" s="61"/>
      <c r="D16" s="61"/>
      <c r="E16" s="61"/>
      <c r="F16" s="61"/>
      <c r="G16" s="50"/>
    </row>
  </sheetData>
  <sheetProtection formatRows="0"/>
  <mergeCells count="7">
    <mergeCell ref="A8:F8"/>
    <mergeCell ref="A10:F10"/>
    <mergeCell ref="A11:F11"/>
    <mergeCell ref="A2:G2"/>
    <mergeCell ref="A5:F5"/>
    <mergeCell ref="A6:F6"/>
    <mergeCell ref="A7:F7"/>
  </mergeCells>
  <phoneticPr fontId="0" type="noConversion"/>
  <hyperlinks>
    <hyperlink ref="G13" location="'Volume Calculator'!G25" display="Return to Calculator"/>
  </hyperlinks>
  <pageMargins left="0.75" right="0.75" top="1" bottom="1" header="0.5" footer="0.5"/>
  <pageSetup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5133" r:id="rId4" name="Group Box 13">
              <controlPr locked="0" defaultSize="0" autoFill="0" autoPict="0">
                <anchor moveWithCells="1">
                  <from>
                    <xdr:col>6</xdr:col>
                    <xdr:colOff>0</xdr:colOff>
                    <xdr:row>5</xdr:row>
                    <xdr:rowOff>0</xdr:rowOff>
                  </from>
                  <to>
                    <xdr:col>7</xdr:col>
                    <xdr:colOff>0</xdr:colOff>
                    <xdr:row>6</xdr:row>
                    <xdr:rowOff>0</xdr:rowOff>
                  </to>
                </anchor>
              </controlPr>
            </control>
          </mc:Choice>
        </mc:AlternateContent>
        <mc:AlternateContent xmlns:mc="http://schemas.openxmlformats.org/markup-compatibility/2006">
          <mc:Choice Requires="x14">
            <control shapeId="5134" r:id="rId5" name="Option Button 14">
              <controlPr defaultSize="0" autoFill="0" autoLine="0" autoPict="0">
                <anchor moveWithCells="1">
                  <from>
                    <xdr:col>6</xdr:col>
                    <xdr:colOff>219075</xdr:colOff>
                    <xdr:row>5</xdr:row>
                    <xdr:rowOff>85725</xdr:rowOff>
                  </from>
                  <to>
                    <xdr:col>6</xdr:col>
                    <xdr:colOff>800100</xdr:colOff>
                    <xdr:row>5</xdr:row>
                    <xdr:rowOff>323850</xdr:rowOff>
                  </to>
                </anchor>
              </controlPr>
            </control>
          </mc:Choice>
        </mc:AlternateContent>
        <mc:AlternateContent xmlns:mc="http://schemas.openxmlformats.org/markup-compatibility/2006">
          <mc:Choice Requires="x14">
            <control shapeId="5135" r:id="rId6" name="Option Button 15">
              <controlPr defaultSize="0" autoFill="0" autoLine="0" autoPict="0">
                <anchor moveWithCells="1">
                  <from>
                    <xdr:col>6</xdr:col>
                    <xdr:colOff>981075</xdr:colOff>
                    <xdr:row>5</xdr:row>
                    <xdr:rowOff>85725</xdr:rowOff>
                  </from>
                  <to>
                    <xdr:col>6</xdr:col>
                    <xdr:colOff>1466850</xdr:colOff>
                    <xdr:row>5</xdr:row>
                    <xdr:rowOff>304800</xdr:rowOff>
                  </to>
                </anchor>
              </controlPr>
            </control>
          </mc:Choice>
        </mc:AlternateContent>
        <mc:AlternateContent xmlns:mc="http://schemas.openxmlformats.org/markup-compatibility/2006">
          <mc:Choice Requires="x14">
            <control shapeId="5136" r:id="rId7" name="Group Box 16">
              <controlPr defaultSize="0" autoFill="0" autoPict="0">
                <anchor moveWithCells="1">
                  <from>
                    <xdr:col>6</xdr:col>
                    <xdr:colOff>0</xdr:colOff>
                    <xdr:row>6</xdr:row>
                    <xdr:rowOff>9525</xdr:rowOff>
                  </from>
                  <to>
                    <xdr:col>7</xdr:col>
                    <xdr:colOff>0</xdr:colOff>
                    <xdr:row>7</xdr:row>
                    <xdr:rowOff>0</xdr:rowOff>
                  </to>
                </anchor>
              </controlPr>
            </control>
          </mc:Choice>
        </mc:AlternateContent>
        <mc:AlternateContent xmlns:mc="http://schemas.openxmlformats.org/markup-compatibility/2006">
          <mc:Choice Requires="x14">
            <control shapeId="5137" r:id="rId8" name="Option Button 17">
              <controlPr defaultSize="0" autoFill="0" autoLine="0" autoPict="0">
                <anchor moveWithCells="1">
                  <from>
                    <xdr:col>6</xdr:col>
                    <xdr:colOff>200025</xdr:colOff>
                    <xdr:row>6</xdr:row>
                    <xdr:rowOff>314325</xdr:rowOff>
                  </from>
                  <to>
                    <xdr:col>6</xdr:col>
                    <xdr:colOff>723900</xdr:colOff>
                    <xdr:row>6</xdr:row>
                    <xdr:rowOff>581025</xdr:rowOff>
                  </to>
                </anchor>
              </controlPr>
            </control>
          </mc:Choice>
        </mc:AlternateContent>
        <mc:AlternateContent xmlns:mc="http://schemas.openxmlformats.org/markup-compatibility/2006">
          <mc:Choice Requires="x14">
            <control shapeId="5138" r:id="rId9" name="Option Button 18">
              <controlPr defaultSize="0" autoFill="0" autoLine="0" autoPict="0">
                <anchor moveWithCells="1">
                  <from>
                    <xdr:col>6</xdr:col>
                    <xdr:colOff>1000125</xdr:colOff>
                    <xdr:row>6</xdr:row>
                    <xdr:rowOff>295275</xdr:rowOff>
                  </from>
                  <to>
                    <xdr:col>6</xdr:col>
                    <xdr:colOff>1457325</xdr:colOff>
                    <xdr:row>6</xdr:row>
                    <xdr:rowOff>600075</xdr:rowOff>
                  </to>
                </anchor>
              </controlPr>
            </control>
          </mc:Choice>
        </mc:AlternateContent>
        <mc:AlternateContent xmlns:mc="http://schemas.openxmlformats.org/markup-compatibility/2006">
          <mc:Choice Requires="x14">
            <control shapeId="5139" r:id="rId10" name="Group Box 19">
              <controlPr defaultSize="0" autoFill="0" autoPict="0">
                <anchor moveWithCells="1">
                  <from>
                    <xdr:col>6</xdr:col>
                    <xdr:colOff>0</xdr:colOff>
                    <xdr:row>7</xdr:row>
                    <xdr:rowOff>0</xdr:rowOff>
                  </from>
                  <to>
                    <xdr:col>7</xdr:col>
                    <xdr:colOff>0</xdr:colOff>
                    <xdr:row>8</xdr:row>
                    <xdr:rowOff>0</xdr:rowOff>
                  </to>
                </anchor>
              </controlPr>
            </control>
          </mc:Choice>
        </mc:AlternateContent>
        <mc:AlternateContent xmlns:mc="http://schemas.openxmlformats.org/markup-compatibility/2006">
          <mc:Choice Requires="x14">
            <control shapeId="5140" r:id="rId11" name="Option Button 20">
              <controlPr defaultSize="0" autoFill="0" autoLine="0" autoPict="0">
                <anchor moveWithCells="1">
                  <from>
                    <xdr:col>6</xdr:col>
                    <xdr:colOff>209550</xdr:colOff>
                    <xdr:row>7</xdr:row>
                    <xdr:rowOff>161925</xdr:rowOff>
                  </from>
                  <to>
                    <xdr:col>6</xdr:col>
                    <xdr:colOff>800100</xdr:colOff>
                    <xdr:row>7</xdr:row>
                    <xdr:rowOff>381000</xdr:rowOff>
                  </to>
                </anchor>
              </controlPr>
            </control>
          </mc:Choice>
        </mc:AlternateContent>
        <mc:AlternateContent xmlns:mc="http://schemas.openxmlformats.org/markup-compatibility/2006">
          <mc:Choice Requires="x14">
            <control shapeId="5141" r:id="rId12" name="Option Button 21">
              <controlPr defaultSize="0" autoFill="0" autoLine="0" autoPict="0">
                <anchor moveWithCells="1">
                  <from>
                    <xdr:col>6</xdr:col>
                    <xdr:colOff>981075</xdr:colOff>
                    <xdr:row>7</xdr:row>
                    <xdr:rowOff>152400</xdr:rowOff>
                  </from>
                  <to>
                    <xdr:col>6</xdr:col>
                    <xdr:colOff>1495425</xdr:colOff>
                    <xdr:row>7</xdr:row>
                    <xdr:rowOff>371475</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dimension ref="A1:J18"/>
  <sheetViews>
    <sheetView zoomScaleNormal="76" workbookViewId="0">
      <selection activeCell="G12" sqref="G12:H12"/>
    </sheetView>
  </sheetViews>
  <sheetFormatPr defaultRowHeight="15"/>
  <cols>
    <col min="1" max="1" width="26.42578125" style="44" customWidth="1"/>
    <col min="2" max="2" width="6.140625" style="44" customWidth="1"/>
    <col min="3" max="3" width="8.5703125" style="44" customWidth="1"/>
    <col min="4" max="5" width="9.140625" style="44"/>
    <col min="6" max="6" width="37.42578125" style="44" customWidth="1"/>
    <col min="7" max="7" width="28.28515625" style="44" customWidth="1"/>
    <col min="8" max="8" width="9.42578125" style="86" hidden="1" customWidth="1"/>
    <col min="9" max="9" width="7.85546875" style="86" hidden="1" customWidth="1"/>
    <col min="10" max="10" width="9.140625" style="44"/>
    <col min="11" max="16384" width="9.140625" style="1"/>
  </cols>
  <sheetData>
    <row r="1" spans="1:10" ht="15.75">
      <c r="A1" s="13" t="s">
        <v>505</v>
      </c>
      <c r="B1" s="6"/>
      <c r="C1" s="6"/>
      <c r="D1" s="6"/>
      <c r="E1" s="6"/>
      <c r="F1" s="6"/>
      <c r="G1" s="6"/>
    </row>
    <row r="2" spans="1:10" ht="38.25" customHeight="1">
      <c r="A2" s="498" t="s">
        <v>514</v>
      </c>
      <c r="B2" s="498"/>
      <c r="C2" s="498"/>
      <c r="D2" s="498"/>
      <c r="E2" s="498"/>
      <c r="F2" s="498"/>
      <c r="G2" s="498"/>
    </row>
    <row r="3" spans="1:10">
      <c r="A3" s="15"/>
      <c r="B3" s="6"/>
      <c r="C3" s="6"/>
      <c r="D3" s="6"/>
      <c r="E3" s="6"/>
      <c r="F3" s="6"/>
      <c r="G3" s="6"/>
    </row>
    <row r="4" spans="1:10">
      <c r="A4" s="6"/>
      <c r="B4" s="6"/>
      <c r="C4" s="6"/>
      <c r="D4" s="6"/>
      <c r="E4" s="6"/>
      <c r="F4" s="6"/>
      <c r="G4" s="6"/>
    </row>
    <row r="5" spans="1:10" ht="15.75" thickBot="1">
      <c r="A5" s="6"/>
      <c r="B5" s="6"/>
      <c r="C5" s="6"/>
      <c r="D5" s="6"/>
      <c r="E5" s="6"/>
      <c r="F5" s="6"/>
      <c r="G5" s="6"/>
    </row>
    <row r="6" spans="1:10" ht="21" customHeight="1" thickBot="1">
      <c r="A6" s="499" t="s">
        <v>66</v>
      </c>
      <c r="B6" s="500"/>
      <c r="C6" s="500"/>
      <c r="D6" s="500"/>
      <c r="E6" s="500"/>
      <c r="F6" s="501"/>
      <c r="G6" s="82" t="s">
        <v>49</v>
      </c>
    </row>
    <row r="7" spans="1:10" ht="54.75" customHeight="1">
      <c r="A7" s="502" t="s">
        <v>515</v>
      </c>
      <c r="B7" s="503"/>
      <c r="C7" s="503"/>
      <c r="D7" s="503"/>
      <c r="E7" s="503"/>
      <c r="F7" s="504"/>
      <c r="G7" s="7"/>
      <c r="I7" s="266">
        <v>2</v>
      </c>
    </row>
    <row r="8" spans="1:10" ht="47.1" customHeight="1">
      <c r="A8" s="505" t="s">
        <v>516</v>
      </c>
      <c r="B8" s="506"/>
      <c r="C8" s="506"/>
      <c r="D8" s="506"/>
      <c r="E8" s="506"/>
      <c r="F8" s="507"/>
      <c r="G8" s="7"/>
      <c r="I8" s="266">
        <v>2</v>
      </c>
    </row>
    <row r="9" spans="1:10" ht="47.1" customHeight="1">
      <c r="A9" s="505" t="s">
        <v>517</v>
      </c>
      <c r="B9" s="506"/>
      <c r="C9" s="506"/>
      <c r="D9" s="506"/>
      <c r="E9" s="506"/>
      <c r="F9" s="507"/>
      <c r="G9" s="7"/>
      <c r="H9" s="44"/>
      <c r="I9" s="266">
        <v>2</v>
      </c>
    </row>
    <row r="10" spans="1:10" ht="39" customHeight="1">
      <c r="A10" s="505" t="str">
        <f>"Percentage of existing "&amp;'Volume Calculator'!K17&amp;" Acres(s) of rooftop surface area in greenroof"</f>
        <v>Percentage of existing 0 Acres(s) of rooftop surface area in greenroof</v>
      </c>
      <c r="B10" s="483"/>
      <c r="C10" s="483"/>
      <c r="D10" s="483"/>
      <c r="E10" s="483"/>
      <c r="F10" s="484"/>
      <c r="G10" s="246"/>
      <c r="H10" s="44">
        <f>SUM('Volume Calculator'!K17*G10)</f>
        <v>0</v>
      </c>
      <c r="I10" s="44">
        <f>SUM(I7:I9)</f>
        <v>6</v>
      </c>
      <c r="J10" s="81"/>
    </row>
    <row r="11" spans="1:10" ht="39" customHeight="1">
      <c r="A11" s="505" t="str">
        <f>"Percentage of the proposed "&amp;'Volume Calculator'!K19&amp;" Acre(s) of rooftop surface area in greenroof"</f>
        <v>Percentage of the proposed 0 Acre(s) of rooftop surface area in greenroof</v>
      </c>
      <c r="B11" s="483"/>
      <c r="C11" s="483"/>
      <c r="D11" s="483"/>
      <c r="E11" s="483"/>
      <c r="F11" s="484"/>
      <c r="G11" s="247"/>
      <c r="H11" s="44">
        <f>SUM('Volume Calculator'!K19*G11)</f>
        <v>0</v>
      </c>
      <c r="I11" s="44"/>
      <c r="J11" s="81"/>
    </row>
    <row r="12" spans="1:10" ht="45.75" customHeight="1">
      <c r="A12" s="61"/>
      <c r="B12" s="61"/>
      <c r="C12" s="61"/>
      <c r="D12" s="61"/>
      <c r="E12" s="61"/>
      <c r="F12" s="61"/>
      <c r="G12" s="497" t="s">
        <v>53</v>
      </c>
      <c r="H12" s="497"/>
      <c r="I12" s="44"/>
    </row>
    <row r="13" spans="1:10" ht="22.5" customHeight="1">
      <c r="A13" s="61"/>
      <c r="B13" s="61"/>
      <c r="C13" s="61"/>
      <c r="D13" s="61"/>
      <c r="E13" s="61"/>
      <c r="F13" s="61"/>
      <c r="G13" s="50"/>
      <c r="I13" s="44"/>
    </row>
    <row r="14" spans="1:10" ht="28.5" customHeight="1">
      <c r="A14" s="61"/>
      <c r="B14" s="61"/>
      <c r="C14" s="61"/>
      <c r="D14" s="61"/>
      <c r="E14" s="61"/>
      <c r="F14" s="61"/>
      <c r="G14" s="50"/>
      <c r="I14" s="44"/>
    </row>
    <row r="15" spans="1:10" ht="29.25" customHeight="1">
      <c r="A15" s="61"/>
      <c r="B15" s="61"/>
      <c r="C15" s="61"/>
      <c r="D15" s="61"/>
      <c r="E15" s="61"/>
      <c r="F15" s="61"/>
      <c r="G15" s="50"/>
      <c r="I15" s="44"/>
    </row>
    <row r="16" spans="1:10">
      <c r="A16" s="61"/>
      <c r="B16" s="61"/>
      <c r="C16" s="61"/>
      <c r="D16" s="61"/>
      <c r="E16" s="61"/>
      <c r="F16" s="61"/>
      <c r="G16" s="50"/>
    </row>
    <row r="17" spans="1:7">
      <c r="A17" s="61"/>
      <c r="B17" s="61"/>
      <c r="C17" s="61"/>
      <c r="D17" s="61"/>
      <c r="E17" s="61"/>
      <c r="F17" s="61"/>
      <c r="G17" s="50"/>
    </row>
    <row r="18" spans="1:7" ht="28.5" customHeight="1">
      <c r="A18" s="61"/>
      <c r="B18" s="61"/>
      <c r="C18" s="61"/>
      <c r="D18" s="61"/>
      <c r="E18" s="61"/>
      <c r="F18" s="61"/>
      <c r="G18" s="50"/>
    </row>
  </sheetData>
  <sheetProtection formatRows="0"/>
  <mergeCells count="8">
    <mergeCell ref="G12:H12"/>
    <mergeCell ref="A2:G2"/>
    <mergeCell ref="A6:F6"/>
    <mergeCell ref="A7:F7"/>
    <mergeCell ref="A8:F8"/>
    <mergeCell ref="A9:F9"/>
    <mergeCell ref="A10:F10"/>
    <mergeCell ref="A11:F11"/>
  </mergeCells>
  <phoneticPr fontId="0" type="noConversion"/>
  <hyperlinks>
    <hyperlink ref="G12" location="'Volume Calculator'!G25" display="Return to Calculator"/>
    <hyperlink ref="G12:H12" location="'Volume Calculator'!G27" display="Return to Calculator"/>
  </hyperlinks>
  <pageMargins left="0.75" right="0.75" top="1" bottom="1" header="0.5" footer="0.5"/>
  <pageSetup orientation="portrait" horizontalDpi="4294967292" verticalDpi="4294967292"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48" r:id="rId4" name="Option Button 8">
              <controlPr defaultSize="0" autoFill="0" autoLine="0" autoPict="0">
                <anchor moveWithCells="1">
                  <from>
                    <xdr:col>6</xdr:col>
                    <xdr:colOff>142875</xdr:colOff>
                    <xdr:row>6</xdr:row>
                    <xdr:rowOff>228600</xdr:rowOff>
                  </from>
                  <to>
                    <xdr:col>6</xdr:col>
                    <xdr:colOff>638175</xdr:colOff>
                    <xdr:row>6</xdr:row>
                    <xdr:rowOff>447675</xdr:rowOff>
                  </to>
                </anchor>
              </controlPr>
            </control>
          </mc:Choice>
        </mc:AlternateContent>
        <mc:AlternateContent xmlns:mc="http://schemas.openxmlformats.org/markup-compatibility/2006">
          <mc:Choice Requires="x14">
            <control shapeId="10249" r:id="rId5" name="Option Button 9">
              <controlPr locked="0" defaultSize="0" autoFill="0" autoLine="0" autoPict="0">
                <anchor moveWithCells="1">
                  <from>
                    <xdr:col>6</xdr:col>
                    <xdr:colOff>1171575</xdr:colOff>
                    <xdr:row>6</xdr:row>
                    <xdr:rowOff>228600</xdr:rowOff>
                  </from>
                  <to>
                    <xdr:col>6</xdr:col>
                    <xdr:colOff>1685925</xdr:colOff>
                    <xdr:row>6</xdr:row>
                    <xdr:rowOff>447675</xdr:rowOff>
                  </to>
                </anchor>
              </controlPr>
            </control>
          </mc:Choice>
        </mc:AlternateContent>
        <mc:AlternateContent xmlns:mc="http://schemas.openxmlformats.org/markup-compatibility/2006">
          <mc:Choice Requires="x14">
            <control shapeId="10250" r:id="rId6" name="Group Box 10">
              <controlPr defaultSize="0" print="0" autoFill="0" autoPict="0">
                <anchor moveWithCells="1">
                  <from>
                    <xdr:col>6</xdr:col>
                    <xdr:colOff>0</xdr:colOff>
                    <xdr:row>6</xdr:row>
                    <xdr:rowOff>0</xdr:rowOff>
                  </from>
                  <to>
                    <xdr:col>7</xdr:col>
                    <xdr:colOff>0</xdr:colOff>
                    <xdr:row>7</xdr:row>
                    <xdr:rowOff>0</xdr:rowOff>
                  </to>
                </anchor>
              </controlPr>
            </control>
          </mc:Choice>
        </mc:AlternateContent>
        <mc:AlternateContent xmlns:mc="http://schemas.openxmlformats.org/markup-compatibility/2006">
          <mc:Choice Requires="x14">
            <control shapeId="10251" r:id="rId7" name="Option Button 11">
              <controlPr defaultSize="0" autoFill="0" autoLine="0" autoPict="0">
                <anchor moveWithCells="1">
                  <from>
                    <xdr:col>6</xdr:col>
                    <xdr:colOff>152400</xdr:colOff>
                    <xdr:row>7</xdr:row>
                    <xdr:rowOff>161925</xdr:rowOff>
                  </from>
                  <to>
                    <xdr:col>6</xdr:col>
                    <xdr:colOff>771525</xdr:colOff>
                    <xdr:row>7</xdr:row>
                    <xdr:rowOff>523875</xdr:rowOff>
                  </to>
                </anchor>
              </controlPr>
            </control>
          </mc:Choice>
        </mc:AlternateContent>
        <mc:AlternateContent xmlns:mc="http://schemas.openxmlformats.org/markup-compatibility/2006">
          <mc:Choice Requires="x14">
            <control shapeId="10252" r:id="rId8" name="Option Button 12">
              <controlPr defaultSize="0" autoFill="0" autoLine="0" autoPict="0">
                <anchor moveWithCells="1">
                  <from>
                    <xdr:col>6</xdr:col>
                    <xdr:colOff>1209675</xdr:colOff>
                    <xdr:row>7</xdr:row>
                    <xdr:rowOff>180975</xdr:rowOff>
                  </from>
                  <to>
                    <xdr:col>6</xdr:col>
                    <xdr:colOff>1771650</xdr:colOff>
                    <xdr:row>7</xdr:row>
                    <xdr:rowOff>514350</xdr:rowOff>
                  </to>
                </anchor>
              </controlPr>
            </control>
          </mc:Choice>
        </mc:AlternateContent>
        <mc:AlternateContent xmlns:mc="http://schemas.openxmlformats.org/markup-compatibility/2006">
          <mc:Choice Requires="x14">
            <control shapeId="10254" r:id="rId9" name="Group Box 14">
              <controlPr defaultSize="0" print="0" autoFill="0" autoPict="0">
                <anchor moveWithCells="1">
                  <from>
                    <xdr:col>6</xdr:col>
                    <xdr:colOff>0</xdr:colOff>
                    <xdr:row>7</xdr:row>
                    <xdr:rowOff>0</xdr:rowOff>
                  </from>
                  <to>
                    <xdr:col>7</xdr:col>
                    <xdr:colOff>0</xdr:colOff>
                    <xdr:row>8</xdr:row>
                    <xdr:rowOff>0</xdr:rowOff>
                  </to>
                </anchor>
              </controlPr>
            </control>
          </mc:Choice>
        </mc:AlternateContent>
        <mc:AlternateContent xmlns:mc="http://schemas.openxmlformats.org/markup-compatibility/2006">
          <mc:Choice Requires="x14">
            <control shapeId="10255" r:id="rId10" name="Option Button 15">
              <controlPr defaultSize="0" autoFill="0" autoLine="0" autoPict="0">
                <anchor moveWithCells="1">
                  <from>
                    <xdr:col>6</xdr:col>
                    <xdr:colOff>209550</xdr:colOff>
                    <xdr:row>8</xdr:row>
                    <xdr:rowOff>238125</xdr:rowOff>
                  </from>
                  <to>
                    <xdr:col>6</xdr:col>
                    <xdr:colOff>771525</xdr:colOff>
                    <xdr:row>8</xdr:row>
                    <xdr:rowOff>514350</xdr:rowOff>
                  </to>
                </anchor>
              </controlPr>
            </control>
          </mc:Choice>
        </mc:AlternateContent>
        <mc:AlternateContent xmlns:mc="http://schemas.openxmlformats.org/markup-compatibility/2006">
          <mc:Choice Requires="x14">
            <control shapeId="10256" r:id="rId11" name="Option Button 16">
              <controlPr defaultSize="0" autoFill="0" autoLine="0" autoPict="0">
                <anchor moveWithCells="1">
                  <from>
                    <xdr:col>6</xdr:col>
                    <xdr:colOff>1228725</xdr:colOff>
                    <xdr:row>8</xdr:row>
                    <xdr:rowOff>228600</xdr:rowOff>
                  </from>
                  <to>
                    <xdr:col>6</xdr:col>
                    <xdr:colOff>1771650</xdr:colOff>
                    <xdr:row>8</xdr:row>
                    <xdr:rowOff>533400</xdr:rowOff>
                  </to>
                </anchor>
              </controlPr>
            </control>
          </mc:Choice>
        </mc:AlternateContent>
        <mc:AlternateContent xmlns:mc="http://schemas.openxmlformats.org/markup-compatibility/2006">
          <mc:Choice Requires="x14">
            <control shapeId="10257" r:id="rId12" name="Group Box 17">
              <controlPr defaultSize="0" autoFill="0" autoPict="0">
                <anchor moveWithCells="1">
                  <from>
                    <xdr:col>6</xdr:col>
                    <xdr:colOff>0</xdr:colOff>
                    <xdr:row>8</xdr:row>
                    <xdr:rowOff>0</xdr:rowOff>
                  </from>
                  <to>
                    <xdr:col>7</xdr:col>
                    <xdr:colOff>0</xdr:colOff>
                    <xdr:row>9</xdr:row>
                    <xdr:rowOff>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indexed="45"/>
  </sheetPr>
  <dimension ref="A1:J22"/>
  <sheetViews>
    <sheetView topLeftCell="A4" zoomScaleNormal="81" workbookViewId="0">
      <selection activeCell="A15" sqref="A15:F15"/>
    </sheetView>
  </sheetViews>
  <sheetFormatPr defaultRowHeight="15"/>
  <cols>
    <col min="1" max="1" width="26.42578125" style="6" customWidth="1"/>
    <col min="2" max="2" width="6.140625" style="6" customWidth="1"/>
    <col min="3" max="3" width="8.28515625" style="6" customWidth="1"/>
    <col min="4" max="4" width="11" style="6" customWidth="1"/>
    <col min="5" max="5" width="10.28515625" style="6" customWidth="1"/>
    <col min="6" max="6" width="39.7109375" style="6" customWidth="1"/>
    <col min="7" max="7" width="28.28515625" style="6" customWidth="1"/>
    <col min="8" max="8" width="10.28515625" style="86" hidden="1" customWidth="1"/>
    <col min="9" max="9" width="3.140625" style="86" hidden="1" customWidth="1"/>
    <col min="10" max="10" width="9.140625" style="6"/>
    <col min="11" max="16384" width="9.140625" style="1"/>
  </cols>
  <sheetData>
    <row r="1" spans="1:10" ht="15.75">
      <c r="A1" s="13" t="s">
        <v>93</v>
      </c>
    </row>
    <row r="2" spans="1:10" ht="57.75" customHeight="1">
      <c r="A2" s="512" t="s">
        <v>518</v>
      </c>
      <c r="B2" s="512"/>
      <c r="C2" s="512"/>
      <c r="D2" s="512"/>
      <c r="E2" s="512"/>
      <c r="F2" s="512"/>
      <c r="G2" s="512"/>
    </row>
    <row r="3" spans="1:10">
      <c r="A3" s="15"/>
    </row>
    <row r="6" spans="1:10" ht="21" customHeight="1">
      <c r="A6" s="513" t="s">
        <v>45</v>
      </c>
      <c r="B6" s="514"/>
      <c r="C6" s="514"/>
      <c r="D6" s="514"/>
      <c r="E6" s="514"/>
      <c r="F6" s="514"/>
      <c r="G6" s="8" t="s">
        <v>49</v>
      </c>
    </row>
    <row r="7" spans="1:10" ht="65.25" customHeight="1">
      <c r="A7" s="511" t="s">
        <v>520</v>
      </c>
      <c r="B7" s="511"/>
      <c r="C7" s="511"/>
      <c r="D7" s="511"/>
      <c r="E7" s="511"/>
      <c r="F7" s="511"/>
      <c r="G7" s="29"/>
      <c r="H7" s="44"/>
      <c r="I7" s="266">
        <v>2</v>
      </c>
    </row>
    <row r="8" spans="1:10" ht="39" customHeight="1">
      <c r="A8" s="511" t="s">
        <v>521</v>
      </c>
      <c r="B8" s="511"/>
      <c r="C8" s="511"/>
      <c r="D8" s="511"/>
      <c r="E8" s="511"/>
      <c r="F8" s="511"/>
      <c r="G8" s="29"/>
      <c r="H8" s="44"/>
      <c r="I8" s="266">
        <v>2</v>
      </c>
    </row>
    <row r="9" spans="1:10" ht="39" customHeight="1">
      <c r="A9" s="511" t="s">
        <v>522</v>
      </c>
      <c r="B9" s="511"/>
      <c r="C9" s="511"/>
      <c r="D9" s="511"/>
      <c r="E9" s="511"/>
      <c r="F9" s="511"/>
      <c r="G9" s="29"/>
      <c r="H9" s="44"/>
      <c r="I9" s="266">
        <v>2</v>
      </c>
    </row>
    <row r="10" spans="1:10" ht="39" customHeight="1">
      <c r="A10" s="509" t="s">
        <v>523</v>
      </c>
      <c r="B10" s="506"/>
      <c r="C10" s="506"/>
      <c r="D10" s="506"/>
      <c r="E10" s="506"/>
      <c r="F10" s="507"/>
      <c r="G10" s="29"/>
      <c r="H10" s="44"/>
      <c r="I10" s="266">
        <v>2</v>
      </c>
    </row>
    <row r="11" spans="1:10" ht="39" customHeight="1">
      <c r="A11" s="509" t="str">
        <f>"Percentage of existing "&amp;SUM('Volume Calculator'!K17:K18)&amp;" Acre(s) impervious surface area draining into a stream buffer"</f>
        <v>Percentage of existing 0 Acre(s) impervious surface area draining into a stream buffer</v>
      </c>
      <c r="B11" s="506"/>
      <c r="C11" s="506"/>
      <c r="D11" s="506"/>
      <c r="E11" s="506"/>
      <c r="F11" s="507"/>
      <c r="G11" s="245"/>
      <c r="H11" s="44">
        <f>(G11/100)*SUM('Volume Calculator'!K17:K178)</f>
        <v>0</v>
      </c>
      <c r="I11" s="266">
        <f>SUM(I7:I10)</f>
        <v>8</v>
      </c>
      <c r="J11" s="6" t="str">
        <f>IF(G11&gt;0,"%","")</f>
        <v/>
      </c>
    </row>
    <row r="12" spans="1:10" ht="39" customHeight="1">
      <c r="A12" s="509" t="str">
        <f>"Percentage of the proposed "&amp;SUM('Volume Calculator'!K19:K20)&amp;" Acre(s) impervious surface area that will drain into a stream buffer"</f>
        <v>Percentage of the proposed 0 Acre(s) impervious surface area that will drain into a stream buffer</v>
      </c>
      <c r="B12" s="483"/>
      <c r="C12" s="483"/>
      <c r="D12" s="483"/>
      <c r="E12" s="483"/>
      <c r="F12" s="484"/>
      <c r="G12" s="245"/>
      <c r="H12" s="44">
        <f>(G12/100)*SUM('Volume Calculator'!K19:K20)</f>
        <v>0</v>
      </c>
      <c r="I12" s="44"/>
      <c r="J12" s="42" t="str">
        <f>IF(G12&gt;0,"%","")</f>
        <v/>
      </c>
    </row>
    <row r="13" spans="1:10" ht="45.75" customHeight="1">
      <c r="A13" s="511" t="s">
        <v>524</v>
      </c>
      <c r="B13" s="511"/>
      <c r="C13" s="511"/>
      <c r="D13" s="511"/>
      <c r="E13" s="511"/>
      <c r="F13" s="511"/>
      <c r="G13" s="83"/>
      <c r="H13" s="44"/>
      <c r="I13" s="44"/>
    </row>
    <row r="14" spans="1:10" ht="66.75" customHeight="1">
      <c r="A14" s="510"/>
      <c r="B14" s="510"/>
      <c r="C14" s="510"/>
      <c r="D14" s="510"/>
      <c r="E14" s="510"/>
      <c r="F14" s="510"/>
      <c r="G14" s="510"/>
    </row>
    <row r="15" spans="1:10" ht="28.5" customHeight="1">
      <c r="A15" s="508"/>
      <c r="B15" s="508"/>
      <c r="C15" s="508"/>
      <c r="D15" s="508"/>
      <c r="E15" s="508"/>
      <c r="F15" s="508"/>
      <c r="G15" s="136" t="s">
        <v>53</v>
      </c>
    </row>
    <row r="16" spans="1:10" ht="29.25" customHeight="1">
      <c r="A16" s="508" t="s">
        <v>506</v>
      </c>
      <c r="B16" s="508"/>
      <c r="C16" s="508"/>
      <c r="D16" s="508"/>
      <c r="E16" s="508"/>
      <c r="F16" s="508"/>
      <c r="G16" s="16"/>
    </row>
    <row r="17" spans="1:7">
      <c r="A17" s="508" t="s">
        <v>519</v>
      </c>
      <c r="B17" s="508"/>
      <c r="C17" s="508"/>
      <c r="D17" s="508"/>
      <c r="E17" s="508"/>
      <c r="F17" s="508"/>
      <c r="G17" s="16"/>
    </row>
    <row r="18" spans="1:7">
      <c r="A18" s="508"/>
      <c r="B18" s="508"/>
      <c r="C18" s="508"/>
      <c r="D18" s="508"/>
      <c r="E18" s="508"/>
      <c r="F18" s="508"/>
      <c r="G18" s="16"/>
    </row>
    <row r="19" spans="1:7" ht="28.5" customHeight="1">
      <c r="A19" s="508"/>
      <c r="B19" s="508"/>
      <c r="C19" s="508"/>
      <c r="D19" s="508"/>
      <c r="E19" s="508"/>
      <c r="F19" s="508"/>
      <c r="G19" s="16"/>
    </row>
    <row r="20" spans="1:7">
      <c r="A20" s="508"/>
      <c r="B20" s="508"/>
      <c r="C20" s="508"/>
      <c r="D20" s="508"/>
      <c r="E20" s="508"/>
      <c r="F20" s="508"/>
      <c r="G20" s="16"/>
    </row>
    <row r="21" spans="1:7">
      <c r="A21" s="508"/>
      <c r="B21" s="508"/>
      <c r="C21" s="508"/>
      <c r="D21" s="508"/>
      <c r="E21" s="508"/>
      <c r="F21" s="508"/>
      <c r="G21" s="16"/>
    </row>
    <row r="22" spans="1:7">
      <c r="G22" s="16"/>
    </row>
  </sheetData>
  <sheetProtection formatRows="0"/>
  <mergeCells count="17">
    <mergeCell ref="A12:F12"/>
    <mergeCell ref="A14:G14"/>
    <mergeCell ref="A10:F10"/>
    <mergeCell ref="A13:F13"/>
    <mergeCell ref="A9:F9"/>
    <mergeCell ref="A2:G2"/>
    <mergeCell ref="A6:F6"/>
    <mergeCell ref="A7:F7"/>
    <mergeCell ref="A8:F8"/>
    <mergeCell ref="A11:F11"/>
    <mergeCell ref="A21:F21"/>
    <mergeCell ref="A15:F15"/>
    <mergeCell ref="A16:F16"/>
    <mergeCell ref="A17:F17"/>
    <mergeCell ref="A18:F18"/>
    <mergeCell ref="A19:F19"/>
    <mergeCell ref="A20:F20"/>
  </mergeCells>
  <phoneticPr fontId="0" type="noConversion"/>
  <hyperlinks>
    <hyperlink ref="G15" location="'Volume Calculator'!G28" display="Return to Calculator"/>
  </hyperlinks>
  <pageMargins left="0.75" right="0.75" top="1" bottom="1" header="0.5" footer="0.5"/>
  <pageSetup paperSize="0" orientation="portrait" horizontalDpi="4294967292" verticalDpi="4294967292"/>
  <headerFooter alignWithMargins="0"/>
  <drawing r:id="rId1"/>
  <legacyDrawing r:id="rId2"/>
  <mc:AlternateContent xmlns:mc="http://schemas.openxmlformats.org/markup-compatibility/2006">
    <mc:Choice Requires="x14">
      <controls>
        <mc:AlternateContent xmlns:mc="http://schemas.openxmlformats.org/markup-compatibility/2006">
          <mc:Choice Requires="x14">
            <control shapeId="6145" r:id="rId3" name="Option Button 1">
              <controlPr defaultSize="0" autoFill="0" autoLine="0" autoPict="0">
                <anchor moveWithCells="1">
                  <from>
                    <xdr:col>6</xdr:col>
                    <xdr:colOff>180975</xdr:colOff>
                    <xdr:row>6</xdr:row>
                    <xdr:rowOff>219075</xdr:rowOff>
                  </from>
                  <to>
                    <xdr:col>6</xdr:col>
                    <xdr:colOff>838200</xdr:colOff>
                    <xdr:row>6</xdr:row>
                    <xdr:rowOff>647700</xdr:rowOff>
                  </to>
                </anchor>
              </controlPr>
            </control>
          </mc:Choice>
        </mc:AlternateContent>
        <mc:AlternateContent xmlns:mc="http://schemas.openxmlformats.org/markup-compatibility/2006">
          <mc:Choice Requires="x14">
            <control shapeId="6146" r:id="rId4" name="Option Button 2">
              <controlPr defaultSize="0" autoFill="0" autoLine="0" autoPict="0">
                <anchor moveWithCells="1">
                  <from>
                    <xdr:col>6</xdr:col>
                    <xdr:colOff>1000125</xdr:colOff>
                    <xdr:row>6</xdr:row>
                    <xdr:rowOff>219075</xdr:rowOff>
                  </from>
                  <to>
                    <xdr:col>6</xdr:col>
                    <xdr:colOff>1733550</xdr:colOff>
                    <xdr:row>6</xdr:row>
                    <xdr:rowOff>647700</xdr:rowOff>
                  </to>
                </anchor>
              </controlPr>
            </control>
          </mc:Choice>
        </mc:AlternateContent>
        <mc:AlternateContent xmlns:mc="http://schemas.openxmlformats.org/markup-compatibility/2006">
          <mc:Choice Requires="x14">
            <control shapeId="6147" r:id="rId5" name="Option Button 3">
              <controlPr defaultSize="0" autoFill="0" autoLine="0" autoPict="0">
                <anchor moveWithCells="1">
                  <from>
                    <xdr:col>6</xdr:col>
                    <xdr:colOff>180975</xdr:colOff>
                    <xdr:row>7</xdr:row>
                    <xdr:rowOff>9525</xdr:rowOff>
                  </from>
                  <to>
                    <xdr:col>6</xdr:col>
                    <xdr:colOff>838200</xdr:colOff>
                    <xdr:row>7</xdr:row>
                    <xdr:rowOff>438150</xdr:rowOff>
                  </to>
                </anchor>
              </controlPr>
            </control>
          </mc:Choice>
        </mc:AlternateContent>
        <mc:AlternateContent xmlns:mc="http://schemas.openxmlformats.org/markup-compatibility/2006">
          <mc:Choice Requires="x14">
            <control shapeId="6149" r:id="rId6" name="Option Button 5">
              <controlPr defaultSize="0" autoFill="0" autoLine="0" autoPict="0">
                <anchor moveWithCells="1">
                  <from>
                    <xdr:col>6</xdr:col>
                    <xdr:colOff>1000125</xdr:colOff>
                    <xdr:row>7</xdr:row>
                    <xdr:rowOff>0</xdr:rowOff>
                  </from>
                  <to>
                    <xdr:col>6</xdr:col>
                    <xdr:colOff>1733550</xdr:colOff>
                    <xdr:row>7</xdr:row>
                    <xdr:rowOff>428625</xdr:rowOff>
                  </to>
                </anchor>
              </controlPr>
            </control>
          </mc:Choice>
        </mc:AlternateContent>
        <mc:AlternateContent xmlns:mc="http://schemas.openxmlformats.org/markup-compatibility/2006">
          <mc:Choice Requires="x14">
            <control shapeId="6151" r:id="rId7" name="Group Box 7">
              <controlPr locked="0" defaultSize="0" autoFill="0" autoPict="0">
                <anchor moveWithCells="1">
                  <from>
                    <xdr:col>6</xdr:col>
                    <xdr:colOff>0</xdr:colOff>
                    <xdr:row>5</xdr:row>
                    <xdr:rowOff>257175</xdr:rowOff>
                  </from>
                  <to>
                    <xdr:col>7</xdr:col>
                    <xdr:colOff>0</xdr:colOff>
                    <xdr:row>7</xdr:row>
                    <xdr:rowOff>0</xdr:rowOff>
                  </to>
                </anchor>
              </controlPr>
            </control>
          </mc:Choice>
        </mc:AlternateContent>
        <mc:AlternateContent xmlns:mc="http://schemas.openxmlformats.org/markup-compatibility/2006">
          <mc:Choice Requires="x14">
            <control shapeId="6154" r:id="rId8" name="Option Button 10">
              <controlPr locked="0" defaultSize="0" autoFill="0" autoLine="0" autoPict="0">
                <anchor moveWithCells="1">
                  <from>
                    <xdr:col>6</xdr:col>
                    <xdr:colOff>161925</xdr:colOff>
                    <xdr:row>8</xdr:row>
                    <xdr:rowOff>104775</xdr:rowOff>
                  </from>
                  <to>
                    <xdr:col>6</xdr:col>
                    <xdr:colOff>762000</xdr:colOff>
                    <xdr:row>8</xdr:row>
                    <xdr:rowOff>381000</xdr:rowOff>
                  </to>
                </anchor>
              </controlPr>
            </control>
          </mc:Choice>
        </mc:AlternateContent>
        <mc:AlternateContent xmlns:mc="http://schemas.openxmlformats.org/markup-compatibility/2006">
          <mc:Choice Requires="x14">
            <control shapeId="6155" r:id="rId9" name="Group Box 11">
              <controlPr defaultSize="0" print="0" autoFill="0" autoPict="0">
                <anchor moveWithCells="1">
                  <from>
                    <xdr:col>6</xdr:col>
                    <xdr:colOff>0</xdr:colOff>
                    <xdr:row>7</xdr:row>
                    <xdr:rowOff>0</xdr:rowOff>
                  </from>
                  <to>
                    <xdr:col>7</xdr:col>
                    <xdr:colOff>0</xdr:colOff>
                    <xdr:row>8</xdr:row>
                    <xdr:rowOff>0</xdr:rowOff>
                  </to>
                </anchor>
              </controlPr>
            </control>
          </mc:Choice>
        </mc:AlternateContent>
        <mc:AlternateContent xmlns:mc="http://schemas.openxmlformats.org/markup-compatibility/2006">
          <mc:Choice Requires="x14">
            <control shapeId="6156" r:id="rId10" name="Group Box 12">
              <controlPr defaultSize="0" print="0" autoFill="0" autoPict="0">
                <anchor moveWithCells="1">
                  <from>
                    <xdr:col>6</xdr:col>
                    <xdr:colOff>0</xdr:colOff>
                    <xdr:row>6</xdr:row>
                    <xdr:rowOff>0</xdr:rowOff>
                  </from>
                  <to>
                    <xdr:col>7</xdr:col>
                    <xdr:colOff>0</xdr:colOff>
                    <xdr:row>7</xdr:row>
                    <xdr:rowOff>0</xdr:rowOff>
                  </to>
                </anchor>
              </controlPr>
            </control>
          </mc:Choice>
        </mc:AlternateContent>
        <mc:AlternateContent xmlns:mc="http://schemas.openxmlformats.org/markup-compatibility/2006">
          <mc:Choice Requires="x14">
            <control shapeId="6157" r:id="rId11" name="Option Button 13">
              <controlPr defaultSize="0" autoFill="0" autoLine="0" autoPict="0">
                <anchor moveWithCells="1">
                  <from>
                    <xdr:col>6</xdr:col>
                    <xdr:colOff>1009650</xdr:colOff>
                    <xdr:row>8</xdr:row>
                    <xdr:rowOff>85725</xdr:rowOff>
                  </from>
                  <to>
                    <xdr:col>6</xdr:col>
                    <xdr:colOff>1590675</xdr:colOff>
                    <xdr:row>8</xdr:row>
                    <xdr:rowOff>428625</xdr:rowOff>
                  </to>
                </anchor>
              </controlPr>
            </control>
          </mc:Choice>
        </mc:AlternateContent>
        <mc:AlternateContent xmlns:mc="http://schemas.openxmlformats.org/markup-compatibility/2006">
          <mc:Choice Requires="x14">
            <control shapeId="6158" r:id="rId12" name="Option Button 14">
              <controlPr defaultSize="0" autoFill="0" autoLine="0" autoPict="0">
                <anchor moveWithCells="1">
                  <from>
                    <xdr:col>6</xdr:col>
                    <xdr:colOff>180975</xdr:colOff>
                    <xdr:row>9</xdr:row>
                    <xdr:rowOff>28575</xdr:rowOff>
                  </from>
                  <to>
                    <xdr:col>6</xdr:col>
                    <xdr:colOff>752475</xdr:colOff>
                    <xdr:row>10</xdr:row>
                    <xdr:rowOff>9525</xdr:rowOff>
                  </to>
                </anchor>
              </controlPr>
            </control>
          </mc:Choice>
        </mc:AlternateContent>
        <mc:AlternateContent xmlns:mc="http://schemas.openxmlformats.org/markup-compatibility/2006">
          <mc:Choice Requires="x14">
            <control shapeId="6159" r:id="rId13" name="Option Button 15">
              <controlPr defaultSize="0" autoFill="0" autoLine="0" autoPict="0">
                <anchor moveWithCells="1">
                  <from>
                    <xdr:col>6</xdr:col>
                    <xdr:colOff>1009650</xdr:colOff>
                    <xdr:row>9</xdr:row>
                    <xdr:rowOff>47625</xdr:rowOff>
                  </from>
                  <to>
                    <xdr:col>6</xdr:col>
                    <xdr:colOff>1809750</xdr:colOff>
                    <xdr:row>9</xdr:row>
                    <xdr:rowOff>466725</xdr:rowOff>
                  </to>
                </anchor>
              </controlPr>
            </control>
          </mc:Choice>
        </mc:AlternateContent>
        <mc:AlternateContent xmlns:mc="http://schemas.openxmlformats.org/markup-compatibility/2006">
          <mc:Choice Requires="x14">
            <control shapeId="6163" r:id="rId14" name="Group Box 19">
              <controlPr defaultSize="0" autoFill="0" autoPict="0">
                <anchor moveWithCells="1">
                  <from>
                    <xdr:col>6</xdr:col>
                    <xdr:colOff>0</xdr:colOff>
                    <xdr:row>8</xdr:row>
                    <xdr:rowOff>0</xdr:rowOff>
                  </from>
                  <to>
                    <xdr:col>7</xdr:col>
                    <xdr:colOff>0</xdr:colOff>
                    <xdr:row>9</xdr:row>
                    <xdr:rowOff>0</xdr:rowOff>
                  </to>
                </anchor>
              </controlPr>
            </control>
          </mc:Choice>
        </mc:AlternateContent>
        <mc:AlternateContent xmlns:mc="http://schemas.openxmlformats.org/markup-compatibility/2006">
          <mc:Choice Requires="x14">
            <control shapeId="6164" r:id="rId15" name="Group Box 20">
              <controlPr defaultSize="0" autoFill="0" autoPict="0">
                <anchor moveWithCells="1">
                  <from>
                    <xdr:col>6</xdr:col>
                    <xdr:colOff>0</xdr:colOff>
                    <xdr:row>9</xdr:row>
                    <xdr:rowOff>0</xdr:rowOff>
                  </from>
                  <to>
                    <xdr:col>7</xdr:col>
                    <xdr:colOff>0</xdr:colOff>
                    <xdr:row>10</xdr:row>
                    <xdr:rowOff>9525</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indexed="45"/>
  </sheetPr>
  <dimension ref="A1:L12"/>
  <sheetViews>
    <sheetView workbookViewId="0">
      <selection activeCell="G12" sqref="G12"/>
    </sheetView>
  </sheetViews>
  <sheetFormatPr defaultRowHeight="15"/>
  <cols>
    <col min="1" max="1" width="28.7109375" style="10" customWidth="1"/>
    <col min="2" max="5" width="9.140625" style="10"/>
    <col min="6" max="6" width="30.7109375" style="10" customWidth="1"/>
    <col min="7" max="8" width="9.140625" style="20"/>
    <col min="9" max="9" width="9.7109375" style="87" hidden="1" customWidth="1"/>
    <col min="10" max="10" width="8.28515625" style="87" hidden="1" customWidth="1"/>
    <col min="11" max="12" width="9.140625" style="20"/>
    <col min="13" max="16384" width="9.140625" style="10"/>
  </cols>
  <sheetData>
    <row r="1" spans="1:11" ht="15.75">
      <c r="A1" s="9" t="s">
        <v>122</v>
      </c>
      <c r="F1" s="4"/>
    </row>
    <row r="2" spans="1:11" ht="47.25" customHeight="1">
      <c r="A2" s="473" t="s">
        <v>525</v>
      </c>
      <c r="B2" s="473"/>
      <c r="C2" s="473"/>
      <c r="D2" s="473"/>
      <c r="E2" s="473"/>
      <c r="F2" s="473"/>
    </row>
    <row r="3" spans="1:11">
      <c r="A3" s="11"/>
    </row>
    <row r="6" spans="1:11" ht="31.5" customHeight="1">
      <c r="A6" s="517" t="s">
        <v>32</v>
      </c>
      <c r="B6" s="517"/>
      <c r="C6" s="517"/>
      <c r="D6" s="517"/>
      <c r="E6" s="517"/>
      <c r="F6" s="517"/>
      <c r="G6" s="21"/>
    </row>
    <row r="7" spans="1:11" ht="44.1" customHeight="1">
      <c r="A7" s="518" t="s">
        <v>526</v>
      </c>
      <c r="B7" s="518"/>
      <c r="C7" s="518"/>
      <c r="D7" s="518"/>
      <c r="E7" s="518"/>
      <c r="F7" s="518"/>
      <c r="I7" s="316"/>
      <c r="J7" s="316">
        <v>2</v>
      </c>
    </row>
    <row r="8" spans="1:11" ht="44.1" customHeight="1">
      <c r="A8" s="518" t="s">
        <v>527</v>
      </c>
      <c r="B8" s="518"/>
      <c r="C8" s="518"/>
      <c r="D8" s="518"/>
      <c r="E8" s="518"/>
      <c r="F8" s="518"/>
      <c r="I8" s="316"/>
      <c r="J8" s="316">
        <v>2</v>
      </c>
    </row>
    <row r="9" spans="1:11" ht="44.1" customHeight="1">
      <c r="A9" s="5"/>
      <c r="B9" s="5"/>
      <c r="C9" s="5"/>
      <c r="D9" s="5"/>
      <c r="E9" s="5"/>
      <c r="F9" s="5"/>
      <c r="I9" s="287"/>
      <c r="J9" s="287">
        <f>SUM(J7:J8)</f>
        <v>4</v>
      </c>
    </row>
    <row r="10" spans="1:11" ht="39.75" customHeight="1">
      <c r="A10" s="519" t="str">
        <f>"Percentage of existing "&amp;SUM('Volume Calculator'!K17:K18)&amp;" Acre(s) of impervious area draining to a vegetated swale"</f>
        <v>Percentage of existing 0 Acre(s) of impervious area draining to a vegetated swale</v>
      </c>
      <c r="B10" s="483"/>
      <c r="C10" s="483"/>
      <c r="D10" s="483"/>
      <c r="E10" s="483"/>
      <c r="F10" s="484"/>
      <c r="G10" s="515"/>
      <c r="H10" s="516"/>
      <c r="I10" s="44">
        <f>SUM('Volume Calculator'!K17:K18)/100*G10</f>
        <v>0</v>
      </c>
      <c r="J10" s="80"/>
      <c r="K10" s="28" t="str">
        <f>IF(G10&gt;0,"%","")</f>
        <v/>
      </c>
    </row>
    <row r="11" spans="1:11" ht="39.75" customHeight="1">
      <c r="A11" s="519" t="str">
        <f>"Percentage of the proposed "&amp;SUM('Volume Calculator'!K19:K20)&amp;" Acre(s) of impervious area draining to a vegetated swale"</f>
        <v>Percentage of the proposed 0 Acre(s) of impervious area draining to a vegetated swale</v>
      </c>
      <c r="B11" s="483"/>
      <c r="C11" s="483"/>
      <c r="D11" s="483"/>
      <c r="E11" s="483"/>
      <c r="F11" s="484"/>
      <c r="G11" s="515"/>
      <c r="H11" s="516"/>
      <c r="I11" s="44">
        <f>SUM('Volume Calculator'!K19:K20)/100*G11</f>
        <v>0</v>
      </c>
      <c r="J11" s="80"/>
      <c r="K11" s="28" t="str">
        <f>IF(G11&gt;0,"%","")</f>
        <v/>
      </c>
    </row>
    <row r="12" spans="1:11">
      <c r="F12" s="136" t="s">
        <v>53</v>
      </c>
    </row>
  </sheetData>
  <sheetProtection formatRows="0"/>
  <mergeCells count="8">
    <mergeCell ref="A2:F2"/>
    <mergeCell ref="G10:H10"/>
    <mergeCell ref="G11:H11"/>
    <mergeCell ref="A6:F6"/>
    <mergeCell ref="A7:F7"/>
    <mergeCell ref="A8:F8"/>
    <mergeCell ref="A10:F10"/>
    <mergeCell ref="A11:F11"/>
  </mergeCells>
  <phoneticPr fontId="0" type="noConversion"/>
  <hyperlinks>
    <hyperlink ref="F12" location="'Volume Calculator'!G29" display="Return to Calculator"/>
  </hyperlinks>
  <pageMargins left="0.75" right="0.75" top="1" bottom="1" header="0.5" footer="0.5"/>
  <pageSetup orientation="portrait"/>
  <headerFooter alignWithMargins="0"/>
  <drawing r:id="rId1"/>
  <legacyDrawing r:id="rId2"/>
  <mc:AlternateContent xmlns:mc="http://schemas.openxmlformats.org/markup-compatibility/2006">
    <mc:Choice Requires="x14">
      <controls>
        <mc:AlternateContent xmlns:mc="http://schemas.openxmlformats.org/markup-compatibility/2006">
          <mc:Choice Requires="x14">
            <control shapeId="7187" r:id="rId3" name="Option Button 19">
              <controlPr defaultSize="0" autoFill="0" autoLine="0" autoPict="0">
                <anchor moveWithCells="1">
                  <from>
                    <xdr:col>6</xdr:col>
                    <xdr:colOff>0</xdr:colOff>
                    <xdr:row>6</xdr:row>
                    <xdr:rowOff>38100</xdr:rowOff>
                  </from>
                  <to>
                    <xdr:col>7</xdr:col>
                    <xdr:colOff>9525</xdr:colOff>
                    <xdr:row>6</xdr:row>
                    <xdr:rowOff>495300</xdr:rowOff>
                  </to>
                </anchor>
              </controlPr>
            </control>
          </mc:Choice>
        </mc:AlternateContent>
        <mc:AlternateContent xmlns:mc="http://schemas.openxmlformats.org/markup-compatibility/2006">
          <mc:Choice Requires="x14">
            <control shapeId="7188" r:id="rId4" name="Option Button 20">
              <controlPr defaultSize="0" autoFill="0" autoLine="0" autoPict="0">
                <anchor moveWithCells="1">
                  <from>
                    <xdr:col>7</xdr:col>
                    <xdr:colOff>0</xdr:colOff>
                    <xdr:row>6</xdr:row>
                    <xdr:rowOff>0</xdr:rowOff>
                  </from>
                  <to>
                    <xdr:col>8</xdr:col>
                    <xdr:colOff>0</xdr:colOff>
                    <xdr:row>7</xdr:row>
                    <xdr:rowOff>0</xdr:rowOff>
                  </to>
                </anchor>
              </controlPr>
            </control>
          </mc:Choice>
        </mc:AlternateContent>
        <mc:AlternateContent xmlns:mc="http://schemas.openxmlformats.org/markup-compatibility/2006">
          <mc:Choice Requires="x14">
            <control shapeId="7191" r:id="rId5" name="Group Box 23">
              <controlPr defaultSize="0" autoFill="0" autoPict="0">
                <anchor moveWithCells="1">
                  <from>
                    <xdr:col>6</xdr:col>
                    <xdr:colOff>0</xdr:colOff>
                    <xdr:row>6</xdr:row>
                    <xdr:rowOff>0</xdr:rowOff>
                  </from>
                  <to>
                    <xdr:col>8</xdr:col>
                    <xdr:colOff>0</xdr:colOff>
                    <xdr:row>7</xdr:row>
                    <xdr:rowOff>0</xdr:rowOff>
                  </to>
                </anchor>
              </controlPr>
            </control>
          </mc:Choice>
        </mc:AlternateContent>
        <mc:AlternateContent xmlns:mc="http://schemas.openxmlformats.org/markup-compatibility/2006">
          <mc:Choice Requires="x14">
            <control shapeId="7193" r:id="rId6" name="Option Button 25">
              <controlPr defaultSize="0" autoFill="0" autoLine="0" autoPict="0">
                <anchor moveWithCells="1">
                  <from>
                    <xdr:col>6</xdr:col>
                    <xdr:colOff>0</xdr:colOff>
                    <xdr:row>7</xdr:row>
                    <xdr:rowOff>0</xdr:rowOff>
                  </from>
                  <to>
                    <xdr:col>6</xdr:col>
                    <xdr:colOff>600075</xdr:colOff>
                    <xdr:row>7</xdr:row>
                    <xdr:rowOff>495300</xdr:rowOff>
                  </to>
                </anchor>
              </controlPr>
            </control>
          </mc:Choice>
        </mc:AlternateContent>
        <mc:AlternateContent xmlns:mc="http://schemas.openxmlformats.org/markup-compatibility/2006">
          <mc:Choice Requires="x14">
            <control shapeId="7194" r:id="rId7" name="Option Button 26">
              <controlPr defaultSize="0" autoFill="0" autoLine="0" autoPict="0">
                <anchor moveWithCells="1">
                  <from>
                    <xdr:col>7</xdr:col>
                    <xdr:colOff>0</xdr:colOff>
                    <xdr:row>7</xdr:row>
                    <xdr:rowOff>0</xdr:rowOff>
                  </from>
                  <to>
                    <xdr:col>8</xdr:col>
                    <xdr:colOff>0</xdr:colOff>
                    <xdr:row>7</xdr:row>
                    <xdr:rowOff>504825</xdr:rowOff>
                  </to>
                </anchor>
              </controlPr>
            </control>
          </mc:Choice>
        </mc:AlternateContent>
        <mc:AlternateContent xmlns:mc="http://schemas.openxmlformats.org/markup-compatibility/2006">
          <mc:Choice Requires="x14">
            <control shapeId="7195" r:id="rId8" name="Group Box 27">
              <controlPr defaultSize="0" autoFill="0" autoPict="0">
                <anchor moveWithCells="1">
                  <from>
                    <xdr:col>6</xdr:col>
                    <xdr:colOff>0</xdr:colOff>
                    <xdr:row>7</xdr:row>
                    <xdr:rowOff>0</xdr:rowOff>
                  </from>
                  <to>
                    <xdr:col>8</xdr:col>
                    <xdr:colOff>0</xdr:colOff>
                    <xdr:row>8</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79</vt:i4>
      </vt:variant>
    </vt:vector>
  </HeadingPairs>
  <TitlesOfParts>
    <vt:vector size="92" baseType="lpstr">
      <vt:lpstr>Introduction</vt:lpstr>
      <vt:lpstr>Volume Calculator</vt:lpstr>
      <vt:lpstr>Porous Pavement</vt:lpstr>
      <vt:lpstr>Tree Planting</vt:lpstr>
      <vt:lpstr>Downspout Disconnection</vt:lpstr>
      <vt:lpstr>Impervious Area Disconnection</vt:lpstr>
      <vt:lpstr>GreenRoofs</vt:lpstr>
      <vt:lpstr>Stream Buffer</vt:lpstr>
      <vt:lpstr>Vegetated Swale</vt:lpstr>
      <vt:lpstr>Rain Barrels &amp; Cisterns</vt:lpstr>
      <vt:lpstr>Soil Quality</vt:lpstr>
      <vt:lpstr>No Edit</vt:lpstr>
      <vt:lpstr>Sheet1</vt:lpstr>
      <vt:lpstr>ALAMEDA</vt:lpstr>
      <vt:lpstr>ALPINE</vt:lpstr>
      <vt:lpstr>AMADOR</vt:lpstr>
      <vt:lpstr>BUTTE</vt:lpstr>
      <vt:lpstr>CALAVERAS</vt:lpstr>
      <vt:lpstr>COLUSA</vt:lpstr>
      <vt:lpstr>CONTRA_COSTA</vt:lpstr>
      <vt:lpstr>Counties</vt:lpstr>
      <vt:lpstr>COUNTY</vt:lpstr>
      <vt:lpstr>COUNTYCOL</vt:lpstr>
      <vt:lpstr>CountyColumn</vt:lpstr>
      <vt:lpstr>CountyRainList</vt:lpstr>
      <vt:lpstr>DEL_NORTE</vt:lpstr>
      <vt:lpstr>EL_DIRADI</vt:lpstr>
      <vt:lpstr>FRESNO</vt:lpstr>
      <vt:lpstr>GLENN</vt:lpstr>
      <vt:lpstr>HUMBOLDT</vt:lpstr>
      <vt:lpstr>IMPERIAL</vt:lpstr>
      <vt:lpstr>INYO</vt:lpstr>
      <vt:lpstr>KERN</vt:lpstr>
      <vt:lpstr>KINGS</vt:lpstr>
      <vt:lpstr>LAKE</vt:lpstr>
      <vt:lpstr>LAND</vt:lpstr>
      <vt:lpstr>Land_list</vt:lpstr>
      <vt:lpstr>LandU</vt:lpstr>
      <vt:lpstr>LandU2</vt:lpstr>
      <vt:lpstr>LandU2a</vt:lpstr>
      <vt:lpstr>LandU3</vt:lpstr>
      <vt:lpstr>LASSEN</vt:lpstr>
      <vt:lpstr>LOCATIONCOL</vt:lpstr>
      <vt:lpstr>Locations</vt:lpstr>
      <vt:lpstr>LOS_ANGELES</vt:lpstr>
      <vt:lpstr>MADERA</vt:lpstr>
      <vt:lpstr>MARIN</vt:lpstr>
      <vt:lpstr>MARIPOSA</vt:lpstr>
      <vt:lpstr>MENDOCINO</vt:lpstr>
      <vt:lpstr>MERCED</vt:lpstr>
      <vt:lpstr>MODOC</vt:lpstr>
      <vt:lpstr>MONO</vt:lpstr>
      <vt:lpstr>MONTEREY</vt:lpstr>
      <vt:lpstr>NAPA</vt:lpstr>
      <vt:lpstr>NEVADA</vt:lpstr>
      <vt:lpstr>ORANGE</vt:lpstr>
      <vt:lpstr>PLACER</vt:lpstr>
      <vt:lpstr>PLUMAS</vt:lpstr>
      <vt:lpstr>Rain</vt:lpstr>
      <vt:lpstr>Rain85</vt:lpstr>
      <vt:lpstr>RainValues</vt:lpstr>
      <vt:lpstr>RegionList</vt:lpstr>
      <vt:lpstr>RIVERSIDE</vt:lpstr>
      <vt:lpstr>SACRAMENTO</vt:lpstr>
      <vt:lpstr>SAN_BENITO</vt:lpstr>
      <vt:lpstr>SAN_BERNARDINO</vt:lpstr>
      <vt:lpstr>SAN_DIEGO</vt:lpstr>
      <vt:lpstr>SAN_FRANCISCO</vt:lpstr>
      <vt:lpstr>SAN_JOAQUIN</vt:lpstr>
      <vt:lpstr>SAN_LUIS_OBISPO</vt:lpstr>
      <vt:lpstr>SAN_MATEO</vt:lpstr>
      <vt:lpstr>SANTA_BARBARA</vt:lpstr>
      <vt:lpstr>SANTA_CLARA</vt:lpstr>
      <vt:lpstr>SANTA_CRUZ</vt:lpstr>
      <vt:lpstr>SHASTA</vt:lpstr>
      <vt:lpstr>SIERRA</vt:lpstr>
      <vt:lpstr>SISKIYOU</vt:lpstr>
      <vt:lpstr>Soil_Type</vt:lpstr>
      <vt:lpstr>Soil2</vt:lpstr>
      <vt:lpstr>Soil3</vt:lpstr>
      <vt:lpstr>Soils</vt:lpstr>
      <vt:lpstr>SOLANO</vt:lpstr>
      <vt:lpstr>SONOMA</vt:lpstr>
      <vt:lpstr>STANISLAUS</vt:lpstr>
      <vt:lpstr>SUTTER</vt:lpstr>
      <vt:lpstr>TEHAMA</vt:lpstr>
      <vt:lpstr>TRINTY</vt:lpstr>
      <vt:lpstr>TULARE</vt:lpstr>
      <vt:lpstr>TUOLUMNE</vt:lpstr>
      <vt:lpstr>VENTURA</vt:lpstr>
      <vt:lpstr>YOLO</vt:lpstr>
      <vt:lpstr>YUBA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Runoff Volume Calculator</dc:title>
  <dc:creator>SWRCB/CWLU</dc:creator>
  <cp:lastModifiedBy>Carlo Grossman</cp:lastModifiedBy>
  <cp:lastPrinted>2010-12-15T21:58:51Z</cp:lastPrinted>
  <dcterms:created xsi:type="dcterms:W3CDTF">2007-01-18T00:11:44Z</dcterms:created>
  <dcterms:modified xsi:type="dcterms:W3CDTF">2018-08-14T23:22:23Z</dcterms:modified>
</cp:coreProperties>
</file>